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showInkAnnotation="0" defaultThemeVersion="166925"/>
  <mc:AlternateContent xmlns:mc="http://schemas.openxmlformats.org/markup-compatibility/2006">
    <mc:Choice Requires="x15">
      <x15ac:absPath xmlns:x15ac="http://schemas.microsoft.com/office/spreadsheetml/2010/11/ac" url="https://intel-my.sharepoint.com/personal/derchang_kau_intel_com/Documents/Technology/Memory Technology/dram, edram, NAND/"/>
    </mc:Choice>
  </mc:AlternateContent>
  <xr:revisionPtr revIDLastSave="24" documentId="13_ncr:1_{BABD0884-91D0-8F44-8D47-617939C855A7}" xr6:coauthVersionLast="47" xr6:coauthVersionMax="47" xr10:uidLastSave="{8BED0D45-877C-2E42-9A0C-DF6F971876B8}"/>
  <bookViews>
    <workbookView xWindow="0" yWindow="500" windowWidth="25600" windowHeight="15500" xr2:uid="{00000000-000D-0000-FFFF-FFFF00000000}"/>
  </bookViews>
  <sheets>
    <sheet name="Array Organization" sheetId="1" r:id="rId1"/>
    <sheet name="Sheet1" sheetId="2" r:id="rId2"/>
    <sheet name="SAMSUNG CELL" sheetId="3" r:id="rId3"/>
    <sheet name="Sheet2" sheetId="8" r:id="rId4"/>
    <sheet name="DRAM $ BW tau" sheetId="4" r:id="rId5"/>
    <sheet name="Bank Metric" sheetId="5" r:id="rId6"/>
    <sheet name="P1271.3" sheetId="6" r:id="rId7"/>
    <sheet name="Component Metric" sheetId="7" r:id="rId8"/>
    <sheet name="Die Size estimate"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1" l="1"/>
  <c r="F10" i="1"/>
  <c r="D22" i="3" l="1"/>
  <c r="D21" i="3"/>
  <c r="D20" i="3"/>
  <c r="E20" i="3"/>
  <c r="G20" i="3"/>
  <c r="Q28" i="9"/>
  <c r="E28" i="9"/>
  <c r="I28" i="9" s="1"/>
  <c r="L28" i="9" s="1"/>
  <c r="N28" i="9" s="1"/>
  <c r="C28" i="9"/>
  <c r="Q27" i="9"/>
  <c r="E27" i="9"/>
  <c r="I27" i="9" s="1"/>
  <c r="L27" i="9" s="1"/>
  <c r="N27" i="9" s="1"/>
  <c r="C27" i="9"/>
  <c r="Q26" i="9"/>
  <c r="E26" i="9"/>
  <c r="I26" i="9" s="1"/>
  <c r="L26" i="9" s="1"/>
  <c r="N26" i="9" s="1"/>
  <c r="C26" i="9"/>
  <c r="Q23" i="9"/>
  <c r="E23" i="9"/>
  <c r="I23" i="9" s="1"/>
  <c r="L23" i="9" s="1"/>
  <c r="N23" i="9" s="1"/>
  <c r="C23" i="9"/>
  <c r="Q22" i="9"/>
  <c r="E22" i="9"/>
  <c r="I22" i="9" s="1"/>
  <c r="L22" i="9" s="1"/>
  <c r="N22" i="9" s="1"/>
  <c r="C22" i="9"/>
  <c r="Q13" i="9"/>
  <c r="E13" i="9"/>
  <c r="I13" i="9" s="1"/>
  <c r="L13" i="9" s="1"/>
  <c r="N13" i="9" s="1"/>
  <c r="C13" i="9"/>
  <c r="Q11" i="9"/>
  <c r="E11" i="9"/>
  <c r="I11" i="9" s="1"/>
  <c r="L11" i="9" s="1"/>
  <c r="N11" i="9" s="1"/>
  <c r="C11" i="9"/>
  <c r="Q9" i="9"/>
  <c r="E9" i="9"/>
  <c r="I9" i="9" s="1"/>
  <c r="L9" i="9" s="1"/>
  <c r="N9" i="9" s="1"/>
  <c r="C9" i="9"/>
  <c r="Q7" i="9"/>
  <c r="E7" i="9"/>
  <c r="I7" i="9" s="1"/>
  <c r="L7" i="9" s="1"/>
  <c r="N7" i="9" s="1"/>
  <c r="C7" i="9"/>
  <c r="Q5" i="9"/>
  <c r="E5" i="9"/>
  <c r="I5" i="9" s="1"/>
  <c r="L5" i="9" s="1"/>
  <c r="N5" i="9" s="1"/>
  <c r="C5" i="9"/>
  <c r="R28" i="9" l="1"/>
  <c r="P28" i="9"/>
  <c r="R27" i="9"/>
  <c r="P27" i="9"/>
  <c r="R26" i="9"/>
  <c r="P26" i="9"/>
  <c r="P23" i="9"/>
  <c r="R23" i="9"/>
  <c r="R22" i="9"/>
  <c r="P22" i="9"/>
  <c r="R13" i="9"/>
  <c r="P13" i="9"/>
  <c r="R11" i="9"/>
  <c r="P11" i="9"/>
  <c r="R9" i="9"/>
  <c r="P9" i="9"/>
  <c r="P7" i="9"/>
  <c r="R7" i="9"/>
  <c r="R5" i="9"/>
  <c r="P5" i="9"/>
  <c r="Q17" i="9" l="1"/>
  <c r="E17" i="9"/>
  <c r="I17" i="9" s="1"/>
  <c r="L17" i="9" s="1"/>
  <c r="N17" i="9" s="1"/>
  <c r="C17" i="9"/>
  <c r="Q20" i="9"/>
  <c r="E20" i="9"/>
  <c r="I20" i="9" s="1"/>
  <c r="L20" i="9" s="1"/>
  <c r="N20" i="9" s="1"/>
  <c r="C20" i="9"/>
  <c r="E16" i="9"/>
  <c r="Q21" i="9"/>
  <c r="E21" i="9"/>
  <c r="I21" i="9" s="1"/>
  <c r="L21" i="9" s="1"/>
  <c r="N21" i="9" s="1"/>
  <c r="C21" i="9"/>
  <c r="Q16" i="9"/>
  <c r="C16" i="9"/>
  <c r="R17" i="9" l="1"/>
  <c r="P17" i="9"/>
  <c r="R20" i="9"/>
  <c r="P20" i="9"/>
  <c r="I16" i="9"/>
  <c r="L16" i="9" s="1"/>
  <c r="N16" i="9" s="1"/>
  <c r="R16" i="9" s="1"/>
  <c r="R21" i="9"/>
  <c r="P21" i="9"/>
  <c r="Q3" i="9"/>
  <c r="C3" i="9"/>
  <c r="E3" i="9"/>
  <c r="I3" i="9" s="1"/>
  <c r="P16" i="9" l="1"/>
  <c r="L3" i="9"/>
  <c r="N3" i="9" s="1"/>
  <c r="P3" i="9" s="1"/>
  <c r="J11" i="5"/>
  <c r="I11" i="5"/>
  <c r="H11" i="5"/>
  <c r="G11" i="5"/>
  <c r="F11" i="5"/>
  <c r="C8" i="7"/>
  <c r="C7" i="7"/>
  <c r="C10" i="7" s="1"/>
  <c r="C12" i="7" s="1"/>
  <c r="C14" i="7" s="1"/>
  <c r="C16" i="7" s="1"/>
  <c r="C17" i="7" s="1"/>
  <c r="C19" i="7" s="1"/>
  <c r="D5" i="7"/>
  <c r="C5" i="7"/>
  <c r="D15" i="7"/>
  <c r="D8" i="7"/>
  <c r="D7" i="7"/>
  <c r="D10" i="7" s="1"/>
  <c r="D12" i="7" s="1"/>
  <c r="D14" i="7" s="1"/>
  <c r="D16" i="7" s="1"/>
  <c r="D17" i="7" s="1"/>
  <c r="D19" i="7" s="1"/>
  <c r="D11" i="5"/>
  <c r="D18" i="5" s="1"/>
  <c r="D10" i="5"/>
  <c r="D16" i="5" s="1"/>
  <c r="M17" i="5"/>
  <c r="L17" i="5"/>
  <c r="K17" i="5"/>
  <c r="R3" i="9" l="1"/>
  <c r="D12" i="5"/>
  <c r="D14" i="5" s="1"/>
  <c r="D15" i="5"/>
  <c r="D17" i="5"/>
  <c r="E11" i="5"/>
  <c r="C11" i="5"/>
  <c r="C10" i="5"/>
  <c r="C18" i="5" l="1"/>
  <c r="C17" i="5"/>
  <c r="E17" i="5"/>
  <c r="E3" i="5"/>
  <c r="E4" i="5" s="1"/>
  <c r="C16" i="5"/>
  <c r="C12" i="5"/>
  <c r="E18" i="5" l="1"/>
  <c r="C14" i="5"/>
  <c r="J5" i="5"/>
  <c r="J17" i="5" s="1"/>
  <c r="I5" i="5"/>
  <c r="I17" i="5" s="1"/>
  <c r="J10" i="5"/>
  <c r="I10" i="5"/>
  <c r="J3" i="5"/>
  <c r="J18" i="5" s="1"/>
  <c r="I3" i="5"/>
  <c r="I18" i="5" s="1"/>
  <c r="M6" i="5"/>
  <c r="M13" i="5"/>
  <c r="L13" i="5"/>
  <c r="L6" i="5"/>
  <c r="L10" i="5" s="1"/>
  <c r="L15" i="5" s="1"/>
  <c r="K13" i="5"/>
  <c r="K6" i="5"/>
  <c r="K10" i="5" s="1"/>
  <c r="K15" i="5" s="1"/>
  <c r="G10" i="5"/>
  <c r="G5" i="5"/>
  <c r="G17" i="5" s="1"/>
  <c r="G3" i="5"/>
  <c r="G18" i="5" s="1"/>
  <c r="H3" i="5"/>
  <c r="H18" i="5" s="1"/>
  <c r="H10" i="5"/>
  <c r="F10" i="5"/>
  <c r="F15" i="5" s="1"/>
  <c r="E10" i="5"/>
  <c r="C15" i="5"/>
  <c r="H5" i="5"/>
  <c r="H17" i="5" s="1"/>
  <c r="E16" i="5" l="1"/>
  <c r="E15" i="5"/>
  <c r="G16" i="5"/>
  <c r="G15" i="5"/>
  <c r="I16" i="5"/>
  <c r="I15" i="5"/>
  <c r="J16" i="5"/>
  <c r="J15" i="5"/>
  <c r="H16" i="5"/>
  <c r="H15" i="5"/>
  <c r="H13" i="5"/>
  <c r="J12" i="5"/>
  <c r="J14" i="5" s="1"/>
  <c r="I12" i="5"/>
  <c r="I14" i="5" s="1"/>
  <c r="H12" i="5"/>
  <c r="H14" i="5" s="1"/>
  <c r="G12" i="5"/>
  <c r="G14" i="5" s="1"/>
  <c r="F12" i="5"/>
  <c r="E12" i="5"/>
  <c r="E14" i="5" s="1"/>
  <c r="J13" i="5"/>
  <c r="I13" i="5"/>
  <c r="M10" i="5"/>
  <c r="M15" i="5" s="1"/>
  <c r="G13" i="5"/>
  <c r="X7" i="3"/>
  <c r="Z7" i="3"/>
  <c r="Z2" i="3"/>
  <c r="Y7" i="3"/>
  <c r="Y2" i="3"/>
  <c r="W7" i="3"/>
  <c r="X2" i="3"/>
  <c r="W2" i="3"/>
  <c r="O7" i="3"/>
  <c r="G2" i="3"/>
  <c r="F2" i="3"/>
  <c r="E2" i="3"/>
  <c r="D2" i="3"/>
  <c r="C2" i="3"/>
  <c r="C8" i="3" s="1"/>
  <c r="Q2" i="3"/>
  <c r="P2" i="3"/>
  <c r="O2" i="3"/>
  <c r="O8" i="3" s="1"/>
  <c r="N2" i="3"/>
  <c r="N8" i="3" s="1"/>
  <c r="M2" i="3"/>
  <c r="Q7" i="3"/>
  <c r="P7" i="3"/>
  <c r="N7" i="3"/>
  <c r="M7" i="3"/>
  <c r="D14" i="3"/>
  <c r="D13" i="3"/>
  <c r="D12" i="3"/>
  <c r="F14" i="3"/>
  <c r="E14" i="3"/>
  <c r="E13" i="3"/>
  <c r="E12" i="3"/>
  <c r="F13" i="3"/>
  <c r="F12" i="3"/>
  <c r="G12" i="3"/>
  <c r="G14" i="3"/>
  <c r="G13" i="3"/>
  <c r="G10" i="3"/>
  <c r="E8" i="3"/>
  <c r="G7" i="3"/>
  <c r="F7" i="3"/>
  <c r="F11" i="3" s="1"/>
  <c r="E7" i="3"/>
  <c r="D7" i="3"/>
  <c r="E11" i="3" s="1"/>
  <c r="C7" i="3"/>
  <c r="D11" i="3" s="1"/>
  <c r="O28" i="1"/>
  <c r="O29" i="1" s="1"/>
  <c r="F8" i="3" l="1"/>
  <c r="F14" i="5"/>
  <c r="F17" i="5"/>
  <c r="G8" i="3"/>
  <c r="Z8" i="3"/>
  <c r="G11" i="3"/>
  <c r="D8" i="3"/>
  <c r="Q8" i="3"/>
  <c r="Y8" i="3"/>
  <c r="X8" i="3"/>
  <c r="W8" i="3"/>
  <c r="P8" i="3"/>
  <c r="M8" i="3"/>
  <c r="E56" i="1"/>
  <c r="E52" i="1" s="1"/>
  <c r="D56" i="1"/>
  <c r="D62" i="1" s="1"/>
  <c r="E51" i="1"/>
  <c r="E49" i="1"/>
  <c r="D49" i="1"/>
  <c r="E50" i="1"/>
  <c r="H52" i="1"/>
  <c r="H51" i="1"/>
  <c r="F41" i="1"/>
  <c r="F42" i="1"/>
  <c r="F54" i="1"/>
  <c r="H50" i="1"/>
  <c r="E62" i="1" l="1"/>
  <c r="E53" i="1"/>
  <c r="H53" i="1"/>
  <c r="G59" i="1" l="1"/>
  <c r="I72" i="1" l="1"/>
  <c r="M10" i="1"/>
  <c r="L10" i="1"/>
  <c r="M8" i="1"/>
  <c r="L8" i="1"/>
  <c r="M7" i="1"/>
  <c r="L7" i="1"/>
  <c r="K10" i="1"/>
  <c r="J10" i="1"/>
  <c r="K8" i="1"/>
  <c r="K7" i="1" s="1"/>
  <c r="J8" i="1"/>
  <c r="J7" i="1"/>
  <c r="K72" i="1" l="1"/>
  <c r="L72" i="1"/>
  <c r="M72" i="1"/>
  <c r="J72" i="1"/>
  <c r="F72" i="1"/>
  <c r="G72" i="1"/>
  <c r="L44" i="1"/>
  <c r="J44" i="1"/>
  <c r="G44" i="1"/>
  <c r="G10" i="1"/>
  <c r="I10" i="1"/>
  <c r="M69" i="1"/>
  <c r="M70" i="1" s="1"/>
  <c r="L69" i="1"/>
  <c r="L70" i="1" s="1"/>
  <c r="M59" i="1"/>
  <c r="L59" i="1"/>
  <c r="M37" i="1"/>
  <c r="L37" i="1"/>
  <c r="M34" i="1"/>
  <c r="M33" i="1"/>
  <c r="K69" i="1"/>
  <c r="K70" i="1" s="1"/>
  <c r="K59" i="1"/>
  <c r="K37" i="1"/>
  <c r="K34" i="1"/>
  <c r="K33" i="1"/>
  <c r="I59" i="1"/>
  <c r="J59" i="1"/>
  <c r="J58" i="1"/>
  <c r="J69" i="1"/>
  <c r="J70" i="1" s="1"/>
  <c r="J37" i="1"/>
  <c r="I8" i="1"/>
  <c r="I7" i="1" s="1"/>
  <c r="I69" i="1"/>
  <c r="I70" i="1" s="1"/>
  <c r="I37" i="1"/>
  <c r="G37" i="1"/>
  <c r="I33" i="1"/>
  <c r="I34" i="1"/>
  <c r="G69" i="1"/>
  <c r="G70" i="1" s="1"/>
  <c r="F37" i="1"/>
  <c r="F44" i="1"/>
  <c r="F40" i="1"/>
  <c r="I40" i="1" s="1"/>
  <c r="G8" i="1"/>
  <c r="G54" i="1" s="1"/>
  <c r="F9" i="1"/>
  <c r="F69" i="1"/>
  <c r="K44" i="1" l="1"/>
  <c r="I44" i="1"/>
  <c r="I50" i="1" s="1"/>
  <c r="G7" i="1"/>
  <c r="F50" i="1"/>
  <c r="F49" i="1"/>
  <c r="I49" i="1"/>
  <c r="K50" i="1"/>
  <c r="M40" i="1"/>
  <c r="J40" i="1"/>
  <c r="J50" i="1" s="1"/>
  <c r="M42" i="1"/>
  <c r="G40" i="1"/>
  <c r="G49" i="1" s="1"/>
  <c r="K40" i="1"/>
  <c r="L40" i="1"/>
  <c r="L50" i="1" s="1"/>
  <c r="M44" i="1"/>
  <c r="F88" i="1"/>
  <c r="F92" i="1" s="1"/>
  <c r="F90" i="1"/>
  <c r="F84" i="1"/>
  <c r="F70" i="1"/>
  <c r="F61" i="1"/>
  <c r="F60" i="1"/>
  <c r="F57" i="1"/>
  <c r="F56" i="1"/>
  <c r="F55" i="1"/>
  <c r="N40" i="1"/>
  <c r="Q44" i="1"/>
  <c r="Q40" i="1"/>
  <c r="Q42" i="1"/>
  <c r="N43" i="1"/>
  <c r="F43" i="1"/>
  <c r="Q43" i="1"/>
  <c r="N42" i="1"/>
  <c r="K42" i="1"/>
  <c r="N41" i="1"/>
  <c r="M41" i="1"/>
  <c r="Q41" i="1"/>
  <c r="F28" i="1"/>
  <c r="F23" i="1"/>
  <c r="F6" i="1"/>
  <c r="M50" i="1" l="1"/>
  <c r="F52" i="1"/>
  <c r="F62" i="1"/>
  <c r="G43" i="1"/>
  <c r="F51" i="1"/>
  <c r="F53" i="1" s="1"/>
  <c r="G50" i="1"/>
  <c r="L56" i="1"/>
  <c r="M49" i="1"/>
  <c r="K49" i="1"/>
  <c r="L49" i="1"/>
  <c r="J49" i="1"/>
  <c r="M57" i="1"/>
  <c r="I57" i="1"/>
  <c r="J57" i="1"/>
  <c r="L57" i="1"/>
  <c r="K57" i="1"/>
  <c r="K55" i="1"/>
  <c r="G55" i="1"/>
  <c r="G57" i="1"/>
  <c r="G56" i="1"/>
  <c r="J55" i="1"/>
  <c r="I55" i="1"/>
  <c r="M55" i="1"/>
  <c r="L55" i="1"/>
  <c r="I56" i="1"/>
  <c r="K56" i="1"/>
  <c r="J56" i="1"/>
  <c r="M56" i="1"/>
  <c r="I42" i="1"/>
  <c r="J42" i="1"/>
  <c r="L42" i="1"/>
  <c r="G42" i="1"/>
  <c r="J41" i="1"/>
  <c r="I41" i="1"/>
  <c r="L41" i="1"/>
  <c r="G41" i="1"/>
  <c r="K41" i="1"/>
  <c r="C10" i="1"/>
  <c r="C28" i="1"/>
  <c r="C8" i="1" s="1"/>
  <c r="C9" i="1" s="1"/>
  <c r="C27" i="1"/>
  <c r="C19" i="1"/>
  <c r="C21" i="1" s="1"/>
  <c r="C23" i="1" s="1"/>
  <c r="C25" i="1" s="1"/>
  <c r="S27" i="1"/>
  <c r="S24" i="1"/>
  <c r="S19" i="1"/>
  <c r="S21" i="1" s="1"/>
  <c r="S23" i="1" s="1"/>
  <c r="S11" i="1"/>
  <c r="S10" i="1"/>
  <c r="S8" i="1"/>
  <c r="S9" i="1" s="1"/>
  <c r="Q11" i="1"/>
  <c r="R11" i="1"/>
  <c r="R27" i="1"/>
  <c r="R24" i="1" s="1"/>
  <c r="R19" i="1"/>
  <c r="R21" i="1" s="1"/>
  <c r="R23" i="1" s="1"/>
  <c r="R25" i="1" s="1"/>
  <c r="R10" i="1"/>
  <c r="R8" i="1"/>
  <c r="R9" i="1" s="1"/>
  <c r="O11" i="1"/>
  <c r="O27" i="1"/>
  <c r="O19" i="1"/>
  <c r="O21" i="1" s="1"/>
  <c r="O23" i="1" s="1"/>
  <c r="O25" i="1" s="1"/>
  <c r="O10" i="1"/>
  <c r="O8" i="1"/>
  <c r="O9" i="1" s="1"/>
  <c r="Q27" i="1"/>
  <c r="Q24" i="1" s="1"/>
  <c r="N27" i="1"/>
  <c r="Q10" i="1"/>
  <c r="Q8" i="1"/>
  <c r="Q9" i="1" s="1"/>
  <c r="N8" i="1"/>
  <c r="N9" i="1" s="1"/>
  <c r="Q19" i="1"/>
  <c r="Q21" i="1" s="1"/>
  <c r="Q23" i="1" s="1"/>
  <c r="N10" i="1"/>
  <c r="N19" i="1"/>
  <c r="N21" i="1" s="1"/>
  <c r="N23" i="1" s="1"/>
  <c r="N25" i="1" s="1"/>
  <c r="J62" i="1" l="1"/>
  <c r="J52" i="1"/>
  <c r="K62" i="1"/>
  <c r="K52" i="1"/>
  <c r="I62" i="1"/>
  <c r="I52" i="1"/>
  <c r="L62" i="1"/>
  <c r="L52" i="1"/>
  <c r="M62" i="1"/>
  <c r="M52" i="1"/>
  <c r="G62" i="1"/>
  <c r="G52" i="1"/>
  <c r="I43" i="1"/>
  <c r="G51" i="1"/>
  <c r="G53" i="1" s="1"/>
  <c r="Q25" i="1"/>
  <c r="S25" i="1"/>
  <c r="J43" i="1" l="1"/>
  <c r="I51" i="1"/>
  <c r="I53" i="1" s="1"/>
  <c r="K43" i="1" l="1"/>
  <c r="J51" i="1"/>
  <c r="J53" i="1" s="1"/>
  <c r="L43" i="1" l="1"/>
  <c r="K51" i="1"/>
  <c r="K53" i="1" s="1"/>
  <c r="M43" i="1" l="1"/>
  <c r="M51" i="1" s="1"/>
  <c r="M53" i="1" s="1"/>
  <c r="L51" i="1"/>
  <c r="L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tc={90589483-3DA0-FD48-B7D1-3EA799F1FD76}</author>
    <author>tc={7E722901-B571-5548-9F65-D7ADEEDAF1FC}</author>
    <author>tc={7F80D1AB-897F-444E-BFFD-085F331D4C76}</author>
    <author>tc={3A1C2A1C-92E0-B046-A3C4-A827D9B8781F}</author>
    <author>tc={D52A6D0D-F729-D143-B5E9-CC505C717DDE}</author>
  </authors>
  <commentList>
    <comment ref="O16" authorId="0" shapeId="0" xr:uid="{90589483-3DA0-FD48-B7D1-3EA799F1FD76}">
      <text>
        <t>[Threaded comment]
Your version of Excel allows you to read this threaded comment; however, any edits to it will get removed if the file is opened in a newer version of Excel. Learn more: https://go.microsoft.com/fwlink/?linkid=870924
Comment:
    Boutique Line (4300+1600)</t>
      </text>
    </comment>
    <comment ref="O17" authorId="1" shapeId="0" xr:uid="{7E722901-B571-5548-9F65-D7ADEEDAF1FC}">
      <text>
        <t>[Threaded comment]
Your version of Excel allows you to read this threaded comment; however, any edits to it will get removed if the file is opened in a newer version of Excel. Learn more: https://go.microsoft.com/fwlink/?linkid=870924
Comment:
    Boutique Line (4300+1600+1600)</t>
      </text>
    </comment>
    <comment ref="O26" authorId="2" shapeId="0" xr:uid="{7F80D1AB-897F-444E-BFFD-085F331D4C76}">
      <text>
        <t>[Threaded comment]
Your version of Excel allows you to read this threaded comment; however, any edits to it will get removed if the file is opened in a newer version of Excel. Learn more: https://go.microsoft.com/fwlink/?linkid=870924
Comment:
    Boutique Line (4300+1600)</t>
      </text>
    </comment>
    <comment ref="O27" authorId="3" shapeId="0" xr:uid="{3A1C2A1C-92E0-B046-A3C4-A827D9B8781F}">
      <text>
        <t>[Threaded comment]
Your version of Excel allows you to read this threaded comment; however, any edits to it will get removed if the file is opened in a newer version of Excel. Learn more: https://go.microsoft.com/fwlink/?linkid=870924
Comment:
    Boutique Line (4300+1600)</t>
      </text>
    </comment>
    <comment ref="O28" authorId="4" shapeId="0" xr:uid="{D52A6D0D-F729-D143-B5E9-CC505C717DDE}">
      <text>
        <t>[Threaded comment]
Your version of Excel allows you to read this threaded comment; however, any edits to it will get removed if the file is opened in a newer version of Excel. Learn more: https://go.microsoft.com/fwlink/?linkid=870924
Comment:
    Boutique Line (4300+1600)</t>
      </text>
    </comment>
  </commentList>
</comments>
</file>

<file path=xl/sharedStrings.xml><?xml version="1.0" encoding="utf-8"?>
<sst xmlns="http://schemas.openxmlformats.org/spreadsheetml/2006/main" count="702" uniqueCount="430">
  <si>
    <t>Capacity</t>
  </si>
  <si>
    <t>Gb</t>
  </si>
  <si>
    <t>Footprint</t>
  </si>
  <si>
    <r>
      <t>mm</t>
    </r>
    <r>
      <rPr>
        <vertAlign val="superscript"/>
        <sz val="12"/>
        <color theme="1"/>
        <rFont val="Calibri (Body)"/>
      </rPr>
      <t>2</t>
    </r>
  </si>
  <si>
    <t>Density</t>
  </si>
  <si>
    <t>Bank Capacity</t>
  </si>
  <si>
    <t>Bank</t>
  </si>
  <si>
    <t>#Array/Bank</t>
  </si>
  <si>
    <t>Array/Bank</t>
  </si>
  <si>
    <t>Array Capacity</t>
  </si>
  <si>
    <t>SubAry/Array</t>
  </si>
  <si>
    <t>Mb/SubArray</t>
  </si>
  <si>
    <t>Col</t>
  </si>
  <si>
    <t># of BL</t>
  </si>
  <si>
    <t># of WL</t>
  </si>
  <si>
    <t>row</t>
  </si>
  <si>
    <t>Mb/bank</t>
  </si>
  <si>
    <t>Mb/Array</t>
  </si>
  <si>
    <t>Col Mux</t>
  </si>
  <si>
    <t>Cell Size</t>
  </si>
  <si>
    <t>nm</t>
  </si>
  <si>
    <r>
      <t>µm</t>
    </r>
    <r>
      <rPr>
        <vertAlign val="superscript"/>
        <sz val="12"/>
        <color theme="1"/>
        <rFont val="Calibri (Body)"/>
      </rPr>
      <t>2</t>
    </r>
  </si>
  <si>
    <t>n:1</t>
  </si>
  <si>
    <t>http://www.qdpma.com/ServerSystems/DRAM.html</t>
  </si>
  <si>
    <t>Other  References</t>
  </si>
  <si>
    <t>WL  Pitch</t>
  </si>
  <si>
    <t>BL Pitch</t>
  </si>
  <si>
    <t>Net Memory Area</t>
  </si>
  <si>
    <t>Array efficiency</t>
  </si>
  <si>
    <t>%</t>
  </si>
  <si>
    <t>Cell Type</t>
  </si>
  <si>
    <t>8F2</t>
  </si>
  <si>
    <t>WL Res</t>
  </si>
  <si>
    <t>Ω/cell</t>
  </si>
  <si>
    <t>BL Res</t>
  </si>
  <si>
    <t>WL cap</t>
  </si>
  <si>
    <t>BL cap</t>
  </si>
  <si>
    <t>The table below shows some DRAM products by bank size?</t>
  </si>
  <si>
    <t>Type</t>
  </si>
  <si>
    <t>Banks</t>
  </si>
  <si>
    <t>Bank Size</t>
  </si>
  <si>
    <t>Org</t>
  </si>
  <si>
    <t>tRC</t>
  </si>
  <si>
    <t>DDR4</t>
  </si>
  <si>
    <t>8G</t>
  </si>
  <si>
    <t>512M</t>
  </si>
  <si>
    <t>131,072×128×32</t>
  </si>
  <si>
    <t>46ns</t>
  </si>
  <si>
    <t>RL-DRAM</t>
  </si>
  <si>
    <t>1.125G</t>
  </si>
  <si>
    <t>72M</t>
  </si>
  <si>
    <t>16,384×32×8×18</t>
  </si>
  <si>
    <t>6.7ns?</t>
  </si>
  <si>
    <t>eDRAM</t>
  </si>
  <si>
    <t>1G</t>
  </si>
  <si>
    <t>8M</t>
  </si>
  <si>
    <t>4×8×256×1024</t>
  </si>
  <si>
    <t>3ns</t>
  </si>
  <si>
    <t>DQ</t>
  </si>
  <si>
    <t>n</t>
  </si>
  <si>
    <t>Active Pitch</t>
  </si>
  <si>
    <t>Samsung
1X LPDDR4</t>
  </si>
  <si>
    <t>Cell Cap</t>
  </si>
  <si>
    <t>fF/cell</t>
  </si>
  <si>
    <t>Die Shrink</t>
  </si>
  <si>
    <t>6F2</t>
  </si>
  <si>
    <t>Samsung
1Y LPDDR4</t>
  </si>
  <si>
    <t>Technology Node</t>
  </si>
  <si>
    <t>Micron
1X DDR4</t>
  </si>
  <si>
    <t>Cell cap height</t>
  </si>
  <si>
    <t>SK Hynix
1X LPDDR4</t>
  </si>
  <si>
    <t># of SubArray/Array (deck)</t>
  </si>
  <si>
    <t>SubArray (deck) Capacity</t>
  </si>
  <si>
    <t>4F2/stack</t>
  </si>
  <si>
    <t>ALF-32
3DXP</t>
  </si>
  <si>
    <t>12.0/5.9</t>
  </si>
  <si>
    <t>5.8/10.7</t>
  </si>
  <si>
    <t>Storage Cap</t>
  </si>
  <si>
    <t>Iris Pro eDRAM
P1271.3</t>
  </si>
  <si>
    <t>Cell Width</t>
  </si>
  <si>
    <t>Cell Height</t>
  </si>
  <si>
    <t>X22MA (7/19)
P1222.6</t>
  </si>
  <si>
    <r>
      <t>Gb/mm</t>
    </r>
    <r>
      <rPr>
        <vertAlign val="superscript"/>
        <sz val="12"/>
        <color theme="1"/>
        <rFont val="Calibri (Body)"/>
      </rPr>
      <t>2</t>
    </r>
  </si>
  <si>
    <t># of Bank/Partition</t>
  </si>
  <si>
    <t>aF/cell</t>
  </si>
  <si>
    <t xml:space="preserve">Critical Patterning </t>
  </si>
  <si>
    <t># of Critical Layer</t>
  </si>
  <si>
    <t># of Interconnect Layer</t>
  </si>
  <si>
    <t>Transfer Rate</t>
  </si>
  <si>
    <t>GTpS</t>
  </si>
  <si>
    <t>PD</t>
  </si>
  <si>
    <t>11E</t>
  </si>
  <si>
    <t>4+1</t>
  </si>
  <si>
    <t>fF/SA</t>
  </si>
  <si>
    <t>ns</t>
  </si>
  <si>
    <t>access latency / TCCD</t>
  </si>
  <si>
    <t>9/193i</t>
  </si>
  <si>
    <t>512 @package</t>
  </si>
  <si>
    <t>Parameter</t>
  </si>
  <si>
    <t>DRAM (1x)</t>
  </si>
  <si>
    <t>Gen1 eDRAM</t>
  </si>
  <si>
    <t>ADM</t>
  </si>
  <si>
    <t>WL capacitance (fF)</t>
  </si>
  <si>
    <t>80-100</t>
  </si>
  <si>
    <t>WL slew (ns)</t>
  </si>
  <si>
    <t>BL Resistance (Ω)</t>
  </si>
  <si>
    <t>3k-4k</t>
  </si>
  <si>
    <t>1.1k</t>
  </si>
  <si>
    <t>1k-2k</t>
  </si>
  <si>
    <t>WL Resistance (Ω)</t>
  </si>
  <si>
    <t>8k-10k</t>
  </si>
  <si>
    <t>2.3k</t>
  </si>
  <si>
    <t>1-2k</t>
  </si>
  <si>
    <t>BL capacitance (fF)</t>
  </si>
  <si>
    <t>Storage capacitance (fF)</t>
  </si>
  <si>
    <t>13-16</t>
  </si>
  <si>
    <t>Sense time (ns)</t>
  </si>
  <si>
    <t>Latency (ns)</t>
  </si>
  <si>
    <t>30-70</t>
  </si>
  <si>
    <t>&lt;20</t>
  </si>
  <si>
    <t>Power @ BW (W/GBps)</t>
  </si>
  <si>
    <t>50/100</t>
  </si>
  <si>
    <t>?</t>
  </si>
  <si>
    <t>???</t>
  </si>
  <si>
    <t>128/256</t>
  </si>
  <si>
    <t>Rchannel @ Lg = 20nm</t>
  </si>
  <si>
    <t>Rchannel @ Lg = 60nm</t>
  </si>
  <si>
    <t>Rchannel @ Lg = 40nm</t>
  </si>
  <si>
    <t>Rcontact @ Lcon  27.5nm</t>
  </si>
  <si>
    <t>Rcontact @ Lcon  20nm</t>
  </si>
  <si>
    <t>Rcontact @ Lcon  15nm</t>
  </si>
  <si>
    <t>SS @ Lg = 40nm</t>
  </si>
  <si>
    <t>SS @ Lg = 60nm</t>
  </si>
  <si>
    <t>mV/dec</t>
  </si>
  <si>
    <t>Rsheet @Lg = 60nm</t>
  </si>
  <si>
    <t>Rsheet @Lg = 40nm</t>
  </si>
  <si>
    <t>ohm</t>
  </si>
  <si>
    <t>Doping /cm2</t>
  </si>
  <si>
    <t>Rsheet @Lg = 20nm</t>
  </si>
  <si>
    <t>Z</t>
  </si>
  <si>
    <t>um</t>
  </si>
  <si>
    <t>ohm/sq</t>
  </si>
  <si>
    <t>Doping /cm3</t>
  </si>
  <si>
    <t>/cm3</t>
  </si>
  <si>
    <t>/cm2</t>
  </si>
  <si>
    <t>ADM thickness</t>
  </si>
  <si>
    <t>cm</t>
  </si>
  <si>
    <t>SS @ Lg = 20nm</t>
  </si>
  <si>
    <t>Leakage @Vg = -0.4</t>
  </si>
  <si>
    <t>A/bit</t>
  </si>
  <si>
    <t>Vt_cc @1e-9 A/um</t>
  </si>
  <si>
    <t>V</t>
  </si>
  <si>
    <t>Vt for Ion</t>
  </si>
  <si>
    <t>Vt_gm = 0.5 V*</t>
  </si>
  <si>
    <t>Vg</t>
  </si>
  <si>
    <t>read 1</t>
  </si>
  <si>
    <t>Vs</t>
  </si>
  <si>
    <t>Vgs</t>
  </si>
  <si>
    <t>Vd</t>
  </si>
  <si>
    <t>Vds</t>
  </si>
  <si>
    <t>Vtgm</t>
  </si>
  <si>
    <t>Vgs-Vt</t>
  </si>
  <si>
    <t>Vgs-Vt vs Vds</t>
  </si>
  <si>
    <t>Vgs-Vt &gt; Vds</t>
  </si>
  <si>
    <t>read 0</t>
  </si>
  <si>
    <t>mV</t>
  </si>
  <si>
    <t>Schottky knee voltage</t>
  </si>
  <si>
    <t>300*</t>
  </si>
  <si>
    <t>Tub-channel (90x60)</t>
  </si>
  <si>
    <t>FinFET (90x60)</t>
  </si>
  <si>
    <t>FinFET (50x50)</t>
  </si>
  <si>
    <t>Vertical 4F2 (90x60)</t>
  </si>
  <si>
    <t>Vertical 4F2 (50x50)</t>
  </si>
  <si>
    <t>ACT-cont</t>
  </si>
  <si>
    <t>9/14ns</t>
  </si>
  <si>
    <t>SM</t>
  </si>
  <si>
    <t>Contact OGD</t>
  </si>
  <si>
    <t>Contact PGD</t>
  </si>
  <si>
    <t>-</t>
  </si>
  <si>
    <t>Aspect ratio</t>
  </si>
  <si>
    <t>in F2</t>
  </si>
  <si>
    <t>Tub-channel (60x50)</t>
  </si>
  <si>
    <t>Idlin</t>
  </si>
  <si>
    <t>A</t>
  </si>
  <si>
    <t>Vt_gm = 0.1 V*</t>
  </si>
  <si>
    <t>F2</t>
  </si>
  <si>
    <t>Cs/Cblp</t>
  </si>
  <si>
    <t>ratio</t>
  </si>
  <si>
    <t>V_WL_OFF</t>
  </si>
  <si>
    <r>
      <t>SA calc for match criteria C</t>
    </r>
    <r>
      <rPr>
        <vertAlign val="subscript"/>
        <sz val="12"/>
        <color theme="1"/>
        <rFont val="Calibri (Body)"/>
      </rPr>
      <t>in</t>
    </r>
  </si>
  <si>
    <t>bits/BL</t>
  </si>
  <si>
    <t>#</t>
  </si>
  <si>
    <t>&gt;100</t>
  </si>
  <si>
    <t>Area for CuA</t>
  </si>
  <si>
    <t>um2</t>
  </si>
  <si>
    <t>Create latency to parasitics conversion chart</t>
  </si>
  <si>
    <t>Energy</t>
  </si>
  <si>
    <t>pJ/bit</t>
  </si>
  <si>
    <t>&lt;0.5</t>
  </si>
  <si>
    <t>Allocation/pitches of metal layers</t>
  </si>
  <si>
    <t>4+2</t>
  </si>
  <si>
    <t>`</t>
  </si>
  <si>
    <t>calculated tRCD</t>
  </si>
  <si>
    <t>&lt;10ns</t>
  </si>
  <si>
    <t>calculated t_WL</t>
  </si>
  <si>
    <t>bits/WL</t>
  </si>
  <si>
    <t>&lt;2ns</t>
  </si>
  <si>
    <t>calculated t_BLeq</t>
  </si>
  <si>
    <t>22nm</t>
  </si>
  <si>
    <t>Goal eDRAM</t>
  </si>
  <si>
    <t>Goal HBM</t>
  </si>
  <si>
    <t>&lt;10</t>
  </si>
  <si>
    <t>&lt;30</t>
  </si>
  <si>
    <t>3x</t>
  </si>
  <si>
    <t>2x</t>
  </si>
  <si>
    <t>2y</t>
  </si>
  <si>
    <t>1x</t>
  </si>
  <si>
    <t>1y</t>
  </si>
  <si>
    <t>1z</t>
  </si>
  <si>
    <t>WL Pitch</t>
  </si>
  <si>
    <t>Active Ptch</t>
  </si>
  <si>
    <t>F</t>
  </si>
  <si>
    <r>
      <t>F</t>
    </r>
    <r>
      <rPr>
        <vertAlign val="superscript"/>
        <sz val="12"/>
        <color theme="1"/>
        <rFont val="Calibri (Body)"/>
      </rPr>
      <t>2</t>
    </r>
  </si>
  <si>
    <r>
      <t>m(µm</t>
    </r>
    <r>
      <rPr>
        <vertAlign val="superscript"/>
        <sz val="12"/>
        <color theme="1"/>
        <rFont val="Calibri (Body)"/>
      </rPr>
      <t>2</t>
    </r>
    <r>
      <rPr>
        <sz val="12"/>
        <color theme="1"/>
        <rFont val="Calibri (Body)"/>
      </rPr>
      <t>)</t>
    </r>
  </si>
  <si>
    <t>Samsung Cell</t>
  </si>
  <si>
    <t>Micron Cell</t>
  </si>
  <si>
    <t>Intel Cell</t>
  </si>
  <si>
    <t>P1222.6</t>
  </si>
  <si>
    <t>P1222.x</t>
  </si>
  <si>
    <t>P1222.y</t>
  </si>
  <si>
    <t>P1222.z</t>
  </si>
  <si>
    <t>Mainstream Die</t>
  </si>
  <si>
    <t>8Gb</t>
  </si>
  <si>
    <t>16Gb</t>
  </si>
  <si>
    <t>Process</t>
  </si>
  <si>
    <t>1xnm</t>
  </si>
  <si>
    <t>1ynm</t>
  </si>
  <si>
    <t>1znm</t>
  </si>
  <si>
    <t>Wafer Cost</t>
  </si>
  <si>
    <t>$      1,887 </t>
  </si>
  <si>
    <t> $      2,053 </t>
  </si>
  <si>
    <t> $      2,048 </t>
  </si>
  <si>
    <t> $      2,107</t>
  </si>
  <si>
    <t> $      2,101</t>
  </si>
  <si>
    <t> $      2,098</t>
  </si>
  <si>
    <t>Die size</t>
  </si>
  <si>
    <t>              43 </t>
  </si>
  <si>
    <t>              34 </t>
  </si>
  <si>
    <t>              54</t>
  </si>
  <si>
    <t>Package</t>
  </si>
  <si>
    <t>SDP</t>
  </si>
  <si>
    <t>Single Die Density</t>
  </si>
  <si>
    <t>          1.00</t>
  </si>
  <si>
    <t>          1.00</t>
  </si>
  <si>
    <t>          2.00</t>
  </si>
  <si>
    <t>Die size with Scribe line</t>
  </si>
  <si>
    <t>          43.9</t>
  </si>
  <si>
    <t>          34.8</t>
  </si>
  <si>
    <t>          54.7</t>
  </si>
  <si>
    <t>Memory Max Die/ Wafer</t>
  </si>
  <si>
    <t>       1,456</t>
  </si>
  <si>
    <t>       1,853</t>
  </si>
  <si>
    <t>       1,160</t>
  </si>
  <si>
    <t>Memory Net Die/Wafer</t>
  </si>
  <si>
    <t>       1,258</t>
  </si>
  <si>
    <t>       1,639</t>
  </si>
  <si>
    <t>           976</t>
  </si>
  <si>
    <t>Memory Die Yield (reference only)</t>
  </si>
  <si>
    <t>DRAM cost (silicon)</t>
  </si>
  <si>
    <t>Cost per GB</t>
  </si>
  <si>
    <t>Latency  (tRCD+tAA) ns</t>
  </si>
  <si>
    <t>Bandwidth/pin  (GT/s)</t>
  </si>
  <si>
    <t>DDR5</t>
  </si>
  <si>
    <t>24Gb</t>
  </si>
  <si>
    <t>32Gb</t>
  </si>
  <si>
    <t>1a</t>
  </si>
  <si>
    <t>1b</t>
  </si>
  <si>
    <t>1C</t>
  </si>
  <si>
    <t>$      2,048 </t>
  </si>
  <si>
    <t> $      2,107 </t>
  </si>
  <si>
    <t> $      2,101 </t>
  </si>
  <si>
    <t> $      2,184 </t>
  </si>
  <si>
    <t> $      2,182 </t>
  </si>
  <si>
    <t> $    2,400 </t>
  </si>
  <si>
    <t> $    2,402 </t>
  </si>
  <si>
    <t> $    2,449 </t>
  </si>
  <si>
    <t>              76 </t>
  </si>
  <si>
    <t>              60 </t>
  </si>
  <si>
    <t>              47 </t>
  </si>
  <si>
    <t>            56 </t>
  </si>
  <si>
    <t>            59 </t>
  </si>
  <si>
    <t>          2.00</t>
  </si>
  <si>
    <t>        3.00</t>
  </si>
  <si>
    <t>        4.00</t>
  </si>
  <si>
    <t>          77.3</t>
  </si>
  <si>
    <t>          61.2</t>
  </si>
  <si>
    <t>          48.5</t>
  </si>
  <si>
    <t>        57.4</t>
  </si>
  <si>
    <t>        60.4</t>
  </si>
  <si>
    <t>           809</t>
  </si>
  <si>
    <t>       1,033</t>
  </si>
  <si>
    <t>       1,316</t>
  </si>
  <si>
    <t>     1,105</t>
  </si>
  <si>
    <t>     1,048</t>
  </si>
  <si>
    <t>           683</t>
  </si>
  <si>
    <t>           896</t>
  </si>
  <si>
    <t>       1,169</t>
  </si>
  <si>
    <t>         966</t>
  </si>
  <si>
    <t>         911</t>
  </si>
  <si>
    <t>Bandwith/pin  (GT/s)</t>
  </si>
  <si>
    <t>Samsung 1X</t>
  </si>
  <si>
    <t>Array unit</t>
  </si>
  <si>
    <t>Partition</t>
  </si>
  <si>
    <t>Byte</t>
  </si>
  <si>
    <t>tRC or eq.</t>
  </si>
  <si>
    <t>footprint</t>
  </si>
  <si>
    <t>(Dual-deck)</t>
  </si>
  <si>
    <t>(Estimated)</t>
  </si>
  <si>
    <t>the time interval required between successive ACTIVE commands to the same bank of commercial DRAM</t>
  </si>
  <si>
    <t>or time interval from row to row in the same bank of Intel IPM</t>
  </si>
  <si>
    <t>or partition occupancy of 3DXP</t>
  </si>
  <si>
    <t>tRC is </t>
  </si>
  <si>
    <t>ALF32 Write</t>
  </si>
  <si>
    <r>
      <t>mm</t>
    </r>
    <r>
      <rPr>
        <vertAlign val="superscript"/>
        <sz val="12"/>
        <color rgb="FF000000"/>
        <rFont val="Calibri"/>
        <family val="2"/>
        <scheme val="minor"/>
      </rPr>
      <t>2</t>
    </r>
    <r>
      <rPr>
        <sz val="12"/>
        <color rgb="FF000000"/>
        <rFont val="Calibri"/>
        <family val="2"/>
        <scheme val="minor"/>
      </rPr>
      <t>/unit</t>
    </r>
  </si>
  <si>
    <r>
      <t>Gb/mm</t>
    </r>
    <r>
      <rPr>
        <vertAlign val="superscript"/>
        <sz val="12"/>
        <color rgb="FF000000"/>
        <rFont val="Calibri"/>
        <family val="2"/>
        <scheme val="minor"/>
      </rPr>
      <t>2</t>
    </r>
  </si>
  <si>
    <t>ALF32 Read</t>
  </si>
  <si>
    <t>quad Plane</t>
  </si>
  <si>
    <t>Array unit of content access would be determined by the reach of global signals, so in principle a plane would be the minimum size of array. Although that is not quite true since we don’t allow mixed types of operations across planes (eg. Read plane A while writing plane B of the same die). So practically, we would have to take a quad plane die as the minimum array unit from this definition.</t>
  </si>
  <si>
    <t>Access time would be read latency (quad plane read latency, approximately 122us (QLC) and 75us (TLC) using 120s NAND numbers).</t>
  </si>
  <si>
    <t>Parallelism would be quad plane page size = 64KB. So bandwidth = 64KB/122us = 512MB/s per die for QLC assuming I/O time is fully hidden by using cached operations.</t>
  </si>
  <si>
    <t>Footprint of array including CMOS decoder and read/write circuitry would essentially be the die size (need to check how to account for bond pad area here if needed) which is ~114.6mm2 for 120s QLC.</t>
  </si>
  <si>
    <t>BW density = (512MB/s)/114.6mm2  ~ 4.5 MB/s/mm2 for QLC.</t>
  </si>
  <si>
    <r>
      <t>Density = array capacity/footprint == die capacity/die size == 1Tb/114.6mm2 </t>
    </r>
    <r>
      <rPr>
        <sz val="11"/>
        <color rgb="FF000000"/>
        <rFont val="Wingdings"/>
        <charset val="2"/>
      </rPr>
      <t>à</t>
    </r>
    <r>
      <rPr>
        <sz val="11"/>
        <color rgb="FF000000"/>
        <rFont val="Calibri"/>
        <family val="2"/>
      </rPr>
      <t> 8.93 Gb/mm2 for QLC.</t>
    </r>
  </si>
  <si>
    <t>120QLC Read</t>
  </si>
  <si>
    <t>120QLC Program</t>
  </si>
  <si>
    <t>Array unit is quad plane die, which is the same as full die. Our die has quad planes. The highest bandwidth operation involves accessing quad plane pages on the die, during which time we cannot do any other array operations on that die.</t>
  </si>
  <si>
    <t>120s QLC average program time is 2.1ms per 64KB page. So BW  = 29.8MB/s per die assuming I/O time is fully hidden. BW density = (29.8 MB/s)/114.6mm2 = 0.26 MB/s/mm2</t>
  </si>
  <si>
    <t>120s QLC typical erase time is 15ms per 288MB quad-plane block. So BW = 18.8GB/s per die. BW density = (18.8 GB/s)/114.6mm2 = 168 MB/s/mm2</t>
  </si>
  <si>
    <t>120QLC Erase</t>
  </si>
  <si>
    <t>BiSM32 Read</t>
  </si>
  <si>
    <t>BiSM32 Write</t>
  </si>
  <si>
    <t>Access Energy</t>
  </si>
  <si>
    <t>Power</t>
  </si>
  <si>
    <t>mW</t>
  </si>
  <si>
    <t>pJ/b</t>
  </si>
  <si>
    <t>Power Density</t>
  </si>
  <si>
    <r>
      <t>mW/mm</t>
    </r>
    <r>
      <rPr>
        <vertAlign val="superscript"/>
        <sz val="12"/>
        <color rgb="FF000000"/>
        <rFont val="Calibri (Body)"/>
      </rPr>
      <t>2</t>
    </r>
  </si>
  <si>
    <r>
      <t>GiB/s/mm</t>
    </r>
    <r>
      <rPr>
        <vertAlign val="superscript"/>
        <sz val="12"/>
        <color rgb="FF000000"/>
        <rFont val="Calibri"/>
        <family val="2"/>
        <scheme val="minor"/>
      </rPr>
      <t>2</t>
    </r>
  </si>
  <si>
    <t>GiB/s/GB</t>
  </si>
  <si>
    <t>Mb</t>
  </si>
  <si>
    <t>P1271.3 (G1)</t>
  </si>
  <si>
    <t>Page BW</t>
  </si>
  <si>
    <t>Random BW</t>
  </si>
  <si>
    <t>Page Size</t>
  </si>
  <si>
    <t>Granularity (Random)</t>
  </si>
  <si>
    <t>P1222.6 (G3)</t>
  </si>
  <si>
    <t>GiB/s/unit</t>
  </si>
  <si>
    <r>
      <t>Raw BW </t>
    </r>
    <r>
      <rPr>
        <sz val="12"/>
        <color rgb="FF070706"/>
        <rFont val="Calibri"/>
        <family val="2"/>
        <scheme val="minor"/>
      </rPr>
      <t>density</t>
    </r>
    <r>
      <rPr>
        <sz val="12"/>
        <color rgb="FF000000"/>
        <rFont val="Calibri"/>
        <family val="2"/>
        <scheme val="minor"/>
      </rPr>
      <t xml:space="preserve"> per Footprint</t>
    </r>
  </si>
  <si>
    <t>Raw BW density per Capacity</t>
  </si>
  <si>
    <r>
      <t>Random BW </t>
    </r>
    <r>
      <rPr>
        <sz val="12"/>
        <color rgb="FF070706"/>
        <rFont val="Calibri"/>
        <family val="2"/>
        <scheme val="minor"/>
      </rPr>
      <t>density</t>
    </r>
    <r>
      <rPr>
        <sz val="12"/>
        <color rgb="FF000000"/>
        <rFont val="Calibri"/>
        <family val="2"/>
        <scheme val="minor"/>
      </rPr>
      <t xml:space="preserve"> per Footprint</t>
    </r>
  </si>
  <si>
    <t>Random BW density per Capacity</t>
  </si>
  <si>
    <t>P1271.1 eDRAM</t>
  </si>
  <si>
    <t>Die Capacity</t>
  </si>
  <si>
    <t>Die Size</t>
  </si>
  <si>
    <t xml:space="preserve"># of Bank </t>
  </si>
  <si>
    <t># / Die</t>
  </si>
  <si>
    <t>Bank Footprint</t>
  </si>
  <si>
    <t>Mb / Bank</t>
  </si>
  <si>
    <r>
      <t>mm</t>
    </r>
    <r>
      <rPr>
        <vertAlign val="superscript"/>
        <sz val="12"/>
        <color theme="1"/>
        <rFont val="Calibri (Body)"/>
      </rPr>
      <t>2</t>
    </r>
    <r>
      <rPr>
        <sz val="12"/>
        <color theme="1"/>
        <rFont val="Calibri"/>
        <family val="2"/>
        <scheme val="minor"/>
      </rPr>
      <t xml:space="preserve"> / Bank</t>
    </r>
  </si>
  <si>
    <t># of Array</t>
  </si>
  <si>
    <t># / Bank</t>
  </si>
  <si>
    <t>Mb / Array</t>
  </si>
  <si>
    <t># of Subarray</t>
  </si>
  <si>
    <t># / Array</t>
  </si>
  <si>
    <t>SubArray capacity</t>
  </si>
  <si>
    <t>Kb / subarray</t>
  </si>
  <si>
    <t># of sector</t>
  </si>
  <si>
    <t># / subarray</t>
  </si>
  <si>
    <t>Kb / sector</t>
  </si>
  <si>
    <t># / sector</t>
  </si>
  <si>
    <t>BL Length</t>
  </si>
  <si>
    <t>WL Length</t>
  </si>
  <si>
    <t>Page size</t>
  </si>
  <si>
    <t>b / bank</t>
  </si>
  <si>
    <t>Colum mux</t>
  </si>
  <si>
    <t>Granularity</t>
  </si>
  <si>
    <t>Technology</t>
  </si>
  <si>
    <t>1X</t>
  </si>
  <si>
    <t>Sector capacity</t>
  </si>
  <si>
    <t>K4F8E164HM</t>
  </si>
  <si>
    <t>22nm Fin</t>
  </si>
  <si>
    <t>di</t>
  </si>
  <si>
    <t>X</t>
  </si>
  <si>
    <t>Y</t>
  </si>
  <si>
    <t>scribe x</t>
  </si>
  <si>
    <t>scribe y</t>
  </si>
  <si>
    <t>die size</t>
  </si>
  <si>
    <t>mm</t>
  </si>
  <si>
    <t>µm</t>
  </si>
  <si>
    <t>die footprint</t>
  </si>
  <si>
    <t>Yield</t>
  </si>
  <si>
    <t>Count</t>
  </si>
  <si>
    <t>Cost/Die</t>
  </si>
  <si>
    <t>Denstity</t>
  </si>
  <si>
    <r>
      <t>GB/mm</t>
    </r>
    <r>
      <rPr>
        <vertAlign val="superscript"/>
        <sz val="12"/>
        <color theme="1"/>
        <rFont val="Calibri (Body)"/>
      </rPr>
      <t>2</t>
    </r>
  </si>
  <si>
    <t>$</t>
  </si>
  <si>
    <t>$/GB</t>
  </si>
  <si>
    <t>wafer size</t>
  </si>
  <si>
    <t>mm2</t>
  </si>
  <si>
    <t>1Y DDR4</t>
  </si>
  <si>
    <t>edge
exclusion</t>
  </si>
  <si>
    <t xml:space="preserve"> yieldable count</t>
  </si>
  <si>
    <t>1Z DDR5</t>
  </si>
  <si>
    <t>1Z LPDDR5</t>
  </si>
  <si>
    <t xml:space="preserve">1Y HBM2E </t>
  </si>
  <si>
    <t xml:space="preserve">1Z HBM3 </t>
  </si>
  <si>
    <t xml:space="preserve">1Z GDDR6 </t>
  </si>
  <si>
    <t>ADM Gen 1</t>
  </si>
  <si>
    <t>ADM Gen 2</t>
  </si>
  <si>
    <t>BWF 64</t>
  </si>
  <si>
    <t>BWF 32</t>
  </si>
  <si>
    <t>ATF 32</t>
  </si>
  <si>
    <t>S26 32</t>
  </si>
  <si>
    <t>ADM CR 1D</t>
  </si>
  <si>
    <t>ADM CR 2D</t>
  </si>
  <si>
    <t>ADM CR 4D</t>
  </si>
  <si>
    <t>Back Gated ADM</t>
  </si>
  <si>
    <t>3DXP</t>
  </si>
  <si>
    <r>
      <t>FinFet ADM, Cell szie (50nm)</t>
    </r>
    <r>
      <rPr>
        <vertAlign val="superscript"/>
        <sz val="12"/>
        <color theme="1"/>
        <rFont val="Calibri (Body)"/>
      </rPr>
      <t>2</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</si>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</sst>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0.00000"/>
    <numFmt numFmtId="165" formatCode="0.000"/>
    <numFmt numFmtId="166" formatCode="0.0"/>
    <numFmt numFmtId="167" formatCode="0.0000"/>
    <numFmt numFmtId="168" formatCode="&quot;$&quot;#,##0.000_);[Red]\(&quot;$&quot;#,##0.000\)"/>
    <numFmt numFmtId="169" formatCode="0.0000000"/>
  </numFmts>
  <fonts count="23">
    <font>
      <sz val="12"/>
      <color theme="1"/>
      <name val="Calibri"/>
      <family val="2"/>
      <scheme val="minor"/>
    </font>
    <font>
      <sz val="12"/>
      <color theme="1"/>
      <name val="Calibri"/>
      <family val="2"/>
      <scheme val="minor"/>
    </font>
    <font>
      <vertAlign val="superscript"/>
      <sz val="12"/>
      <color theme="1"/>
      <name val="Calibri (Body)"/>
    </font>
    <font>
      <u/>
      <sz val="12"/>
      <color theme="10"/>
      <name val="Calibri"/>
      <family val="2"/>
      <scheme val="minor"/>
    </font>
    <font>
      <sz val="11"/>
      <color rgb="FF000000"/>
      <name val="Tahoma"/>
      <family val="2"/>
    </font>
    <font>
      <b/>
      <sz val="10"/>
      <color theme="1"/>
      <name val="Arial"/>
      <family val="2"/>
    </font>
    <font>
      <sz val="10"/>
      <color theme="1"/>
      <name val="Arial"/>
      <family val="2"/>
    </font>
    <font>
      <vertAlign val="subscript"/>
      <sz val="12"/>
      <color theme="1"/>
      <name val="Calibri (Body)"/>
    </font>
    <font>
      <sz val="12"/>
      <color theme="1"/>
      <name val="Calibri (Body)"/>
    </font>
    <font>
      <sz val="12"/>
      <color theme="1"/>
      <name val="-webkit-standard"/>
    </font>
    <font>
      <sz val="18"/>
      <color rgb="FF000000"/>
      <name val="Intel Clear"/>
      <family val="2"/>
    </font>
    <font>
      <b/>
      <sz val="11"/>
      <color rgb="FF000000"/>
      <name val="Calibri"/>
      <family val="2"/>
    </font>
    <font>
      <sz val="11"/>
      <color rgb="FF000000"/>
      <name val="Calibri"/>
      <family val="2"/>
    </font>
    <font>
      <sz val="11"/>
      <color rgb="FF000000"/>
      <name val="Intel Clear"/>
      <family val="2"/>
    </font>
    <font>
      <sz val="10"/>
      <color rgb="FF000000"/>
      <name val="Times New Roman"/>
      <family val="1"/>
    </font>
    <font>
      <b/>
      <sz val="16"/>
      <color rgb="FF000000"/>
      <name val="Calibri"/>
      <family val="2"/>
    </font>
    <font>
      <sz val="11"/>
      <color rgb="FF000000"/>
      <name val="Calibri"/>
      <family val="2"/>
      <scheme val="minor"/>
    </font>
    <font>
      <sz val="11"/>
      <name val="Calibri"/>
      <family val="2"/>
      <scheme val="minor"/>
    </font>
    <font>
      <sz val="12"/>
      <color rgb="FF000000"/>
      <name val="Calibri"/>
      <family val="2"/>
      <scheme val="minor"/>
    </font>
    <font>
      <vertAlign val="superscript"/>
      <sz val="12"/>
      <color rgb="FF000000"/>
      <name val="Calibri"/>
      <family val="2"/>
      <scheme val="minor"/>
    </font>
    <font>
      <sz val="12"/>
      <color rgb="FF070706"/>
      <name val="Calibri"/>
      <family val="2"/>
      <scheme val="minor"/>
    </font>
    <font>
      <sz val="11"/>
      <color rgb="FF000000"/>
      <name val="Wingdings"/>
      <charset val="2"/>
    </font>
    <font>
      <vertAlign val="superscript"/>
      <sz val="12"/>
      <color rgb="FF000000"/>
      <name val="Calibri (Body)"/>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6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166" fontId="0" fillId="0" borderId="0" xfId="0" applyNumberFormat="1" applyAlignment="1">
      <alignment horizontal="center" vertical="center"/>
    </xf>
    <xf numFmtId="1" fontId="0" fillId="0" borderId="0" xfId="0" applyNumberFormat="1" applyAlignment="1">
      <alignment horizontal="center" vertical="center"/>
    </xf>
    <xf numFmtId="9" fontId="0" fillId="0" borderId="0" xfId="2" applyFont="1" applyAlignment="1">
      <alignment horizontal="center" vertical="center"/>
    </xf>
    <xf numFmtId="0" fontId="0" fillId="0" borderId="0" xfId="0" applyAlignment="1">
      <alignment horizontal="center" vertical="center" wrapText="1"/>
    </xf>
    <xf numFmtId="0" fontId="3" fillId="0" borderId="0" xfId="3"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9" fontId="0" fillId="0" borderId="0" xfId="0" applyNumberFormat="1" applyAlignment="1">
      <alignment horizontal="center" vertical="center"/>
    </xf>
    <xf numFmtId="2" fontId="0" fillId="0" borderId="0" xfId="0" applyNumberFormat="1" applyAlignment="1">
      <alignment horizontal="center" vertical="center"/>
    </xf>
    <xf numFmtId="167" fontId="0" fillId="0" borderId="0" xfId="0" applyNumberFormat="1" applyAlignment="1">
      <alignment horizontal="center" vertical="center"/>
    </xf>
    <xf numFmtId="16" fontId="0" fillId="0" borderId="0" xfId="0" applyNumberFormat="1"/>
    <xf numFmtId="2" fontId="0" fillId="0" borderId="0" xfId="2" applyNumberFormat="1" applyFont="1" applyAlignment="1">
      <alignment horizontal="center" vertical="center"/>
    </xf>
    <xf numFmtId="0"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quotePrefix="1" applyAlignment="1">
      <alignment horizontal="center" vertical="center"/>
    </xf>
    <xf numFmtId="11" fontId="0" fillId="0" borderId="0" xfId="0" applyNumberFormat="1" applyAlignment="1">
      <alignment horizontal="center" vertical="center"/>
    </xf>
    <xf numFmtId="1" fontId="0" fillId="0" borderId="0" xfId="2" applyNumberFormat="1" applyFont="1" applyAlignment="1">
      <alignment horizontal="center" vertical="center"/>
    </xf>
    <xf numFmtId="11" fontId="0" fillId="0" borderId="0" xfId="2" applyNumberFormat="1" applyFont="1" applyAlignment="1">
      <alignment horizontal="center" vertical="center"/>
    </xf>
    <xf numFmtId="0" fontId="0" fillId="0" borderId="0" xfId="0" applyAlignment="1">
      <alignment horizontal="right" vertical="top"/>
    </xf>
    <xf numFmtId="0" fontId="0" fillId="0" borderId="0" xfId="0" applyAlignment="1">
      <alignment horizontal="center" vertical="top"/>
    </xf>
    <xf numFmtId="0" fontId="0" fillId="0" borderId="0" xfId="0" applyAlignment="1">
      <alignment horizontal="center" vertical="top" wrapText="1"/>
    </xf>
    <xf numFmtId="2" fontId="0" fillId="0" borderId="0" xfId="0" applyNumberFormat="1" applyAlignment="1">
      <alignment horizontal="center" vertical="top" wrapText="1"/>
    </xf>
    <xf numFmtId="0" fontId="0" fillId="0" borderId="0" xfId="0" applyAlignment="1">
      <alignment vertical="top" wrapText="1"/>
    </xf>
    <xf numFmtId="0" fontId="0" fillId="0" borderId="0" xfId="0" applyAlignment="1">
      <alignment vertical="top"/>
    </xf>
    <xf numFmtId="0" fontId="0" fillId="0" borderId="1" xfId="0" applyBorder="1"/>
    <xf numFmtId="0" fontId="0" fillId="0" borderId="1" xfId="0" applyBorder="1" applyAlignment="1">
      <alignment horizontal="center"/>
    </xf>
    <xf numFmtId="165" fontId="0" fillId="0" borderId="1" xfId="0" applyNumberFormat="1" applyBorder="1" applyAlignment="1">
      <alignment horizontal="center"/>
    </xf>
    <xf numFmtId="0" fontId="10" fillId="0" borderId="0" xfId="0" applyFont="1"/>
    <xf numFmtId="0" fontId="9"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10" fontId="13" fillId="0" borderId="0" xfId="0" applyNumberFormat="1" applyFont="1" applyAlignment="1">
      <alignment horizontal="center" vertical="center"/>
    </xf>
    <xf numFmtId="8" fontId="13" fillId="0" borderId="0" xfId="0" applyNumberFormat="1" applyFont="1" applyAlignment="1">
      <alignment horizontal="center" vertical="center"/>
    </xf>
    <xf numFmtId="0" fontId="14" fillId="0" borderId="0" xfId="0" applyFont="1" applyAlignment="1">
      <alignment horizontal="center" vertical="center"/>
    </xf>
    <xf numFmtId="0" fontId="16" fillId="0" borderId="0" xfId="0" applyFont="1"/>
    <xf numFmtId="0" fontId="17" fillId="0" borderId="0" xfId="0" applyFont="1"/>
    <xf numFmtId="0" fontId="18" fillId="0" borderId="0" xfId="0" applyFont="1"/>
    <xf numFmtId="0" fontId="20" fillId="0" borderId="0" xfId="0" applyFont="1"/>
    <xf numFmtId="165" fontId="18" fillId="0" borderId="0" xfId="0" applyNumberFormat="1" applyFont="1"/>
    <xf numFmtId="0" fontId="18" fillId="0" borderId="0" xfId="0" applyFont="1" applyAlignment="1">
      <alignment horizontal="center" vertical="center"/>
    </xf>
    <xf numFmtId="165" fontId="18" fillId="0" borderId="0" xfId="0" applyNumberFormat="1" applyFont="1" applyAlignment="1">
      <alignment horizontal="center" vertical="center"/>
    </xf>
    <xf numFmtId="11" fontId="18" fillId="0" borderId="0" xfId="0" applyNumberFormat="1" applyFont="1" applyAlignment="1">
      <alignment horizontal="center" vertical="center"/>
    </xf>
    <xf numFmtId="1" fontId="18" fillId="0" borderId="0" xfId="0" applyNumberFormat="1" applyFont="1" applyAlignment="1">
      <alignment horizontal="center" vertical="center"/>
    </xf>
    <xf numFmtId="6" fontId="0" fillId="0" borderId="0" xfId="0" applyNumberFormat="1" applyAlignment="1">
      <alignment horizontal="center" vertical="center"/>
    </xf>
    <xf numFmtId="8" fontId="0" fillId="0" borderId="0" xfId="0" applyNumberFormat="1" applyAlignment="1">
      <alignment horizontal="center" vertical="center"/>
    </xf>
    <xf numFmtId="0" fontId="0" fillId="0" borderId="0" xfId="0" applyAlignment="1">
      <alignment horizontal="center"/>
    </xf>
    <xf numFmtId="168" fontId="0" fillId="0" borderId="0" xfId="0" applyNumberFormat="1" applyAlignment="1">
      <alignment horizontal="center" vertical="center"/>
    </xf>
    <xf numFmtId="169" fontId="0" fillId="0" borderId="0" xfId="0" applyNumberFormat="1" applyAlignment="1">
      <alignment horizontal="center" vertical="center"/>
    </xf>
    <xf numFmtId="0" fontId="18" fillId="0" borderId="0" xfId="0" applyFont="1" applyAlignment="1">
      <alignment horizontal="left" vertical="center"/>
    </xf>
    <xf numFmtId="43" fontId="0" fillId="0" borderId="0" xfId="4" applyFont="1" applyAlignment="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706120</xdr:colOff>
      <xdr:row>0</xdr:row>
      <xdr:rowOff>426720</xdr:rowOff>
    </xdr:from>
    <xdr:to>
      <xdr:col>6</xdr:col>
      <xdr:colOff>599440</xdr:colOff>
      <xdr:row>1</xdr:row>
      <xdr:rowOff>10031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5938520" y="426720"/>
          <a:ext cx="914400" cy="873631"/>
        </a:xfrm>
        <a:prstGeom prst="rect">
          <a:avLst/>
        </a:prstGeom>
      </xdr:spPr>
    </xdr:pic>
    <xdr:clientData/>
  </xdr:twoCellAnchor>
  <xdr:twoCellAnchor editAs="oneCell">
    <xdr:from>
      <xdr:col>9</xdr:col>
      <xdr:colOff>137161</xdr:colOff>
      <xdr:row>0</xdr:row>
      <xdr:rowOff>459725</xdr:rowOff>
    </xdr:from>
    <xdr:to>
      <xdr:col>10</xdr:col>
      <xdr:colOff>889000</xdr:colOff>
      <xdr:row>0</xdr:row>
      <xdr:rowOff>1280160</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
        <a:stretch>
          <a:fillRect/>
        </a:stretch>
      </xdr:blipFill>
      <xdr:spPr>
        <a:xfrm>
          <a:off x="9855201" y="459725"/>
          <a:ext cx="1783079" cy="820435"/>
        </a:xfrm>
        <a:prstGeom prst="rect">
          <a:avLst/>
        </a:prstGeom>
      </xdr:spPr>
    </xdr:pic>
    <xdr:clientData/>
  </xdr:twoCellAnchor>
  <xdr:twoCellAnchor editAs="oneCell">
    <xdr:from>
      <xdr:col>6</xdr:col>
      <xdr:colOff>406400</xdr:colOff>
      <xdr:row>0</xdr:row>
      <xdr:rowOff>401320</xdr:rowOff>
    </xdr:from>
    <xdr:to>
      <xdr:col>8</xdr:col>
      <xdr:colOff>529640</xdr:colOff>
      <xdr:row>1</xdr:row>
      <xdr:rowOff>157480</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
        <a:stretch>
          <a:fillRect/>
        </a:stretch>
      </xdr:blipFill>
      <xdr:spPr>
        <a:xfrm>
          <a:off x="8061960" y="401320"/>
          <a:ext cx="1154480" cy="1046480"/>
        </a:xfrm>
        <a:prstGeom prst="rect">
          <a:avLst/>
        </a:prstGeom>
      </xdr:spPr>
    </xdr:pic>
    <xdr:clientData/>
  </xdr:twoCellAnchor>
  <xdr:twoCellAnchor editAs="oneCell">
    <xdr:from>
      <xdr:col>11</xdr:col>
      <xdr:colOff>599440</xdr:colOff>
      <xdr:row>0</xdr:row>
      <xdr:rowOff>304801</xdr:rowOff>
    </xdr:from>
    <xdr:to>
      <xdr:col>12</xdr:col>
      <xdr:colOff>475324</xdr:colOff>
      <xdr:row>1</xdr:row>
      <xdr:rowOff>132081</xdr:rowOff>
    </xdr:to>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4"/>
        <a:stretch>
          <a:fillRect/>
        </a:stretch>
      </xdr:blipFill>
      <xdr:spPr>
        <a:xfrm>
          <a:off x="12379960" y="304801"/>
          <a:ext cx="907124" cy="111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63500</xdr:colOff>
      <xdr:row>33</xdr:row>
      <xdr:rowOff>152400</xdr:rowOff>
    </xdr:to>
    <xdr:pic>
      <xdr:nvPicPr>
        <xdr:cNvPr id="2" name="Picture 1">
          <a:extLst>
            <a:ext uri="{FF2B5EF4-FFF2-40B4-BE49-F238E27FC236}">
              <a16:creationId xmlns:a16="http://schemas.microsoft.com/office/drawing/2014/main" id="{1FD75DB6-2944-0245-869E-3C6445431F51}"/>
            </a:ext>
          </a:extLst>
        </xdr:cNvPr>
        <xdr:cNvPicPr>
          <a:picLocks noChangeAspect="1"/>
        </xdr:cNvPicPr>
      </xdr:nvPicPr>
      <xdr:blipFill>
        <a:blip xmlns:r="http://schemas.openxmlformats.org/officeDocument/2006/relationships" r:embed="rId1"/>
        <a:stretch>
          <a:fillRect/>
        </a:stretch>
      </xdr:blipFill>
      <xdr:spPr>
        <a:xfrm>
          <a:off x="0" y="0"/>
          <a:ext cx="9144000" cy="6858000"/>
        </a:xfrm>
        <a:prstGeom prst="rect">
          <a:avLst/>
        </a:prstGeom>
      </xdr:spPr>
    </xdr:pic>
    <xdr:clientData/>
  </xdr:twoCellAnchor>
  <xdr:twoCellAnchor editAs="oneCell">
    <xdr:from>
      <xdr:col>11</xdr:col>
      <xdr:colOff>0</xdr:colOff>
      <xdr:row>0</xdr:row>
      <xdr:rowOff>0</xdr:rowOff>
    </xdr:from>
    <xdr:to>
      <xdr:col>22</xdr:col>
      <xdr:colOff>63500</xdr:colOff>
      <xdr:row>33</xdr:row>
      <xdr:rowOff>152400</xdr:rowOff>
    </xdr:to>
    <xdr:pic>
      <xdr:nvPicPr>
        <xdr:cNvPr id="3" name="Picture 2">
          <a:extLst>
            <a:ext uri="{FF2B5EF4-FFF2-40B4-BE49-F238E27FC236}">
              <a16:creationId xmlns:a16="http://schemas.microsoft.com/office/drawing/2014/main" id="{09D78820-E9FD-E644-AE83-A2D4F9FB13BA}"/>
            </a:ext>
          </a:extLst>
        </xdr:cNvPr>
        <xdr:cNvPicPr>
          <a:picLocks noChangeAspect="1"/>
        </xdr:cNvPicPr>
      </xdr:nvPicPr>
      <xdr:blipFill>
        <a:blip xmlns:r="http://schemas.openxmlformats.org/officeDocument/2006/relationships" r:embed="rId2"/>
        <a:stretch>
          <a:fillRect/>
        </a:stretch>
      </xdr:blipFill>
      <xdr:spPr>
        <a:xfrm>
          <a:off x="9080500" y="0"/>
          <a:ext cx="9144000" cy="6858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u, Derchang" id="{8BC057F1-3C9C-BD4D-9C4C-0B3B4D545197}" userId="S::derchang.kau@intel.com::b9148588-e694-4445-9765-2c9aad6149c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6" dT="2020-06-30T01:33:48.16" personId="{8BC057F1-3C9C-BD4D-9C4C-0B3B4D545197}" id="{90589483-3DA0-FD48-B7D1-3EA799F1FD76}">
    <text>Boutique Line (4300+1600)</text>
  </threadedComment>
  <threadedComment ref="O17" dT="2020-06-30T01:34:13.58" personId="{8BC057F1-3C9C-BD4D-9C4C-0B3B4D545197}" id="{7E722901-B571-5548-9F65-D7ADEEDAF1FC}">
    <text>Boutique Line (4300+1600+1600)</text>
  </threadedComment>
  <threadedComment ref="O26" dT="2020-06-30T01:33:48.16" personId="{8BC057F1-3C9C-BD4D-9C4C-0B3B4D545197}" id="{7F80D1AB-897F-444E-BFFD-085F331D4C76}">
    <text>Boutique Line (4300+1600)</text>
  </threadedComment>
  <threadedComment ref="O27" dT="2020-06-30T01:33:48.16" personId="{8BC057F1-3C9C-BD4D-9C4C-0B3B4D545197}" id="{3A1C2A1C-92E0-B046-A3C4-A827D9B8781F}">
    <text>Boutique Line (4300+1600)</text>
  </threadedComment>
  <threadedComment ref="O28" dT="2020-06-30T01:33:48.16" personId="{8BC057F1-3C9C-BD4D-9C4C-0B3B4D545197}" id="{D52A6D0D-F729-D143-B5E9-CC505C717DDE}">
    <text>Boutique Line (4300+1600)</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qdpma.com/ServerSystems/DRAM.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3"/>
  <sheetViews>
    <sheetView tabSelected="1" zoomScale="150" zoomScaleNormal="150" zoomScaleSheetLayoutView="50" workbookViewId="0">
      <pane xSplit="2" ySplit="1" topLeftCell="D3" activePane="bottomRight" state="frozen"/>
      <selection pane="topRight" activeCell="C1" sqref="C1"/>
      <selection pane="bottomLeft" activeCell="A2" sqref="A2"/>
      <selection pane="bottomRight" activeCell="G11" sqref="G11"/>
    </sheetView>
  </sheetViews>
  <sheetFormatPr baseColWidth="10" defaultColWidth="10.83203125" defaultRowHeight="16"/>
  <cols>
    <col min="1" max="1" width="29.6640625" style="3" bestFit="1" customWidth="1"/>
    <col min="2" max="2" width="12" style="2" bestFit="1" customWidth="1"/>
    <col min="3" max="3" width="13.5" style="2" bestFit="1" customWidth="1"/>
    <col min="4" max="5" width="13.5" style="2" customWidth="1"/>
    <col min="6" max="6" width="13.33203125" style="15" bestFit="1" customWidth="1"/>
    <col min="7" max="7" width="13.5" style="2" customWidth="1"/>
    <col min="8" max="8" width="13.5" style="2" hidden="1" customWidth="1"/>
    <col min="9" max="13" width="13.5" style="2" customWidth="1"/>
    <col min="14" max="15" width="13.5" style="2" bestFit="1" customWidth="1"/>
    <col min="16" max="16" width="13.5" style="2" customWidth="1"/>
    <col min="17" max="18" width="13.5" style="2" bestFit="1" customWidth="1"/>
    <col min="19" max="21" width="10.83203125" style="1"/>
    <col min="22" max="25" width="10.5" style="1" customWidth="1"/>
    <col min="26" max="26" width="13.83203125" style="1" bestFit="1" customWidth="1"/>
    <col min="27" max="27" width="10.5" style="1" customWidth="1"/>
    <col min="28" max="16384" width="10.83203125" style="1"/>
  </cols>
  <sheetData>
    <row r="1" spans="1:27" s="30" customFormat="1" ht="101.5" customHeight="1">
      <c r="A1" s="25"/>
      <c r="B1" s="26"/>
      <c r="C1" s="27" t="s">
        <v>74</v>
      </c>
      <c r="D1" s="27" t="s">
        <v>209</v>
      </c>
      <c r="E1" s="27" t="s">
        <v>210</v>
      </c>
      <c r="F1" s="28" t="s">
        <v>81</v>
      </c>
      <c r="G1" s="27" t="s">
        <v>168</v>
      </c>
      <c r="H1" s="27" t="s">
        <v>168</v>
      </c>
      <c r="I1" s="27" t="s">
        <v>181</v>
      </c>
      <c r="J1" s="27" t="s">
        <v>169</v>
      </c>
      <c r="K1" s="27" t="s">
        <v>170</v>
      </c>
      <c r="L1" s="27" t="s">
        <v>171</v>
      </c>
      <c r="M1" s="27" t="s">
        <v>172</v>
      </c>
      <c r="N1" s="27" t="s">
        <v>78</v>
      </c>
      <c r="O1" s="27" t="s">
        <v>66</v>
      </c>
      <c r="P1" s="27"/>
      <c r="Q1" s="27" t="s">
        <v>61</v>
      </c>
      <c r="R1" s="27" t="s">
        <v>68</v>
      </c>
      <c r="S1" s="29" t="s">
        <v>70</v>
      </c>
      <c r="T1" s="29"/>
    </row>
    <row r="2" spans="1:27">
      <c r="A2" s="3" t="s">
        <v>67</v>
      </c>
      <c r="B2" s="2" t="s">
        <v>20</v>
      </c>
      <c r="C2" s="2">
        <v>20.5</v>
      </c>
      <c r="F2" s="15" t="s">
        <v>208</v>
      </c>
      <c r="N2" s="2" t="s">
        <v>429</v>
      </c>
      <c r="O2" s="9">
        <v>16</v>
      </c>
      <c r="P2" s="9"/>
      <c r="Q2" s="9">
        <v>18</v>
      </c>
      <c r="R2" s="9">
        <v>19</v>
      </c>
      <c r="S2" s="9">
        <v>19</v>
      </c>
      <c r="T2" s="9"/>
      <c r="V2" s="3" t="s">
        <v>24</v>
      </c>
      <c r="W2" s="10" t="s">
        <v>23</v>
      </c>
    </row>
    <row r="3" spans="1:27">
      <c r="A3" s="3" t="s">
        <v>85</v>
      </c>
      <c r="C3" s="2" t="s">
        <v>90</v>
      </c>
      <c r="F3" s="15" t="s">
        <v>173</v>
      </c>
      <c r="O3" s="9"/>
      <c r="P3" s="9"/>
      <c r="Q3" s="9"/>
      <c r="R3" s="9"/>
      <c r="S3" s="9"/>
      <c r="T3" s="9"/>
      <c r="V3" s="11" t="s">
        <v>37</v>
      </c>
    </row>
    <row r="4" spans="1:27">
      <c r="A4" s="3" t="s">
        <v>86</v>
      </c>
      <c r="C4" s="2" t="s">
        <v>91</v>
      </c>
      <c r="F4" s="15" t="s">
        <v>96</v>
      </c>
      <c r="O4" s="9"/>
      <c r="P4" s="9"/>
      <c r="Q4" s="9"/>
      <c r="R4" s="9"/>
      <c r="S4" s="9"/>
      <c r="T4" s="9"/>
      <c r="V4" s="12" t="s">
        <v>38</v>
      </c>
      <c r="W4" s="12" t="s">
        <v>4</v>
      </c>
      <c r="X4" s="12" t="s">
        <v>39</v>
      </c>
      <c r="Y4" s="12" t="s">
        <v>40</v>
      </c>
      <c r="Z4" s="12" t="s">
        <v>41</v>
      </c>
    </row>
    <row r="5" spans="1:27">
      <c r="A5" s="3" t="s">
        <v>87</v>
      </c>
      <c r="C5" s="2" t="s">
        <v>92</v>
      </c>
      <c r="F5" s="15" t="s">
        <v>200</v>
      </c>
      <c r="N5" s="2">
        <v>6</v>
      </c>
      <c r="O5" s="9"/>
      <c r="P5" s="9"/>
      <c r="Q5" s="9"/>
      <c r="R5" s="9"/>
      <c r="S5" s="9"/>
      <c r="T5" s="9"/>
      <c r="V5" s="13" t="s">
        <v>43</v>
      </c>
      <c r="W5" s="13" t="s">
        <v>44</v>
      </c>
      <c r="X5" s="13">
        <v>16</v>
      </c>
      <c r="Y5" s="13" t="s">
        <v>45</v>
      </c>
      <c r="Z5" s="13" t="s">
        <v>46</v>
      </c>
    </row>
    <row r="6" spans="1:27">
      <c r="A6" s="3" t="s">
        <v>0</v>
      </c>
      <c r="B6" s="2" t="s">
        <v>1</v>
      </c>
      <c r="C6" s="2">
        <v>256</v>
      </c>
      <c r="F6" s="15">
        <f>512*8/1024</f>
        <v>4</v>
      </c>
      <c r="N6" s="2">
        <v>1</v>
      </c>
      <c r="O6" s="2">
        <v>8</v>
      </c>
      <c r="Q6" s="2">
        <v>8</v>
      </c>
      <c r="R6" s="2">
        <v>8</v>
      </c>
      <c r="S6" s="2">
        <v>8</v>
      </c>
      <c r="T6" s="2"/>
      <c r="V6" s="13" t="s">
        <v>48</v>
      </c>
      <c r="W6" s="13" t="s">
        <v>49</v>
      </c>
      <c r="X6" s="13">
        <v>16</v>
      </c>
      <c r="Y6" s="13" t="s">
        <v>50</v>
      </c>
      <c r="Z6" s="13" t="s">
        <v>51</v>
      </c>
      <c r="AA6" s="12" t="s">
        <v>42</v>
      </c>
    </row>
    <row r="7" spans="1:27" ht="19">
      <c r="A7" s="3" t="s">
        <v>2</v>
      </c>
      <c r="B7" s="2" t="s">
        <v>3</v>
      </c>
      <c r="C7" s="2">
        <v>200</v>
      </c>
      <c r="F7" s="15">
        <v>100</v>
      </c>
      <c r="G7" s="2">
        <f>G8*(1+G9)</f>
        <v>37.804302139391993</v>
      </c>
      <c r="I7" s="2">
        <f>I8/I9</f>
        <v>17.725261856507935</v>
      </c>
      <c r="J7" s="2">
        <f>J8*(1+J9)</f>
        <v>37.804302139391993</v>
      </c>
      <c r="K7" s="2">
        <f>K8/K9</f>
        <v>17.725261856507935</v>
      </c>
      <c r="L7" s="2">
        <f>L8*(1+L9)</f>
        <v>37.804302139391993</v>
      </c>
      <c r="M7" s="2">
        <f>M8/M9</f>
        <v>17.725261856507935</v>
      </c>
      <c r="N7" s="2">
        <v>77</v>
      </c>
      <c r="O7" s="2">
        <v>33.200000000000003</v>
      </c>
      <c r="Q7" s="2">
        <v>42.13</v>
      </c>
      <c r="R7" s="2">
        <v>58.48</v>
      </c>
      <c r="S7" s="2">
        <v>41.8</v>
      </c>
      <c r="T7" s="2"/>
      <c r="V7" s="13" t="s">
        <v>53</v>
      </c>
      <c r="W7" s="13" t="s">
        <v>54</v>
      </c>
      <c r="X7" s="13">
        <v>128</v>
      </c>
      <c r="Y7" s="13" t="s">
        <v>55</v>
      </c>
      <c r="Z7" s="13" t="s">
        <v>56</v>
      </c>
      <c r="AA7" s="13" t="s">
        <v>47</v>
      </c>
    </row>
    <row r="8" spans="1:27" ht="19">
      <c r="A8" s="3" t="s">
        <v>27</v>
      </c>
      <c r="B8" s="2" t="s">
        <v>3</v>
      </c>
      <c r="C8" s="7">
        <f>C6*2^30*C28/1000000</f>
        <v>115.51744039321602</v>
      </c>
      <c r="D8" s="7"/>
      <c r="E8" s="7"/>
      <c r="F8" s="15">
        <v>63</v>
      </c>
      <c r="G8" s="7">
        <f>0.06*0.09*1024*8*1024*512*0.000001</f>
        <v>23.192823398399998</v>
      </c>
      <c r="H8" s="7"/>
      <c r="I8" s="7">
        <f>0.052*0.05*1024*8*1024*512*0.000001</f>
        <v>11.166914969599999</v>
      </c>
      <c r="J8" s="7">
        <f>0.06*0.09*1024*8*1024*512*0.000001</f>
        <v>23.192823398399998</v>
      </c>
      <c r="K8" s="7">
        <f>0.052*0.05*1024*8*1024*512*0.000001</f>
        <v>11.166914969599999</v>
      </c>
      <c r="L8" s="7">
        <f>0.06*0.09*1024*8*1024*512*0.000001</f>
        <v>23.192823398399998</v>
      </c>
      <c r="M8" s="7">
        <f>0.052*0.05*1024*8*1024*512*0.000001</f>
        <v>11.166914969599999</v>
      </c>
      <c r="N8" s="7">
        <f>N6*2^30*N28/1000000</f>
        <v>31.138512896000002</v>
      </c>
      <c r="O8" s="7">
        <f>O6*2^30*O28/1000000</f>
        <v>20.547123544064</v>
      </c>
      <c r="P8" s="7"/>
      <c r="Q8" s="7">
        <f>Q6*2^30*Q28/1000000</f>
        <v>22.333829939199997</v>
      </c>
      <c r="R8" s="7">
        <f>R6*2^30*R28/1000000</f>
        <v>28.346784153600002</v>
      </c>
      <c r="S8" s="7">
        <f>S6*2^30*S28/1000000</f>
        <v>21.47483648</v>
      </c>
      <c r="T8" s="7"/>
      <c r="V8" s="13"/>
      <c r="W8" s="13"/>
      <c r="X8" s="13"/>
      <c r="Y8" s="13"/>
      <c r="Z8" s="13"/>
      <c r="AA8" s="13" t="s">
        <v>52</v>
      </c>
    </row>
    <row r="9" spans="1:27">
      <c r="A9" s="3" t="s">
        <v>28</v>
      </c>
      <c r="B9" s="2" t="s">
        <v>29</v>
      </c>
      <c r="C9" s="8">
        <f>C8/C7</f>
        <v>0.57758720196608015</v>
      </c>
      <c r="D9" s="8"/>
      <c r="E9" s="8"/>
      <c r="F9" s="18">
        <f>F8/F7</f>
        <v>0.63</v>
      </c>
      <c r="G9" s="8">
        <v>0.63</v>
      </c>
      <c r="H9" s="8"/>
      <c r="I9" s="8">
        <v>0.63</v>
      </c>
      <c r="J9" s="8">
        <v>0.63</v>
      </c>
      <c r="K9" s="8">
        <v>0.63</v>
      </c>
      <c r="L9" s="8">
        <v>0.63</v>
      </c>
      <c r="M9" s="8">
        <v>0.63</v>
      </c>
      <c r="N9" s="8">
        <f>N8/N7</f>
        <v>0.40439627137662337</v>
      </c>
      <c r="O9" s="8">
        <f>O8/O7</f>
        <v>0.61888926337542161</v>
      </c>
      <c r="P9" s="8"/>
      <c r="Q9" s="8">
        <f>Q8/Q7</f>
        <v>0.53011701730833127</v>
      </c>
      <c r="R9" s="8">
        <f>R8/R7</f>
        <v>0.48472613121751029</v>
      </c>
      <c r="S9" s="8">
        <f>S8/S7</f>
        <v>0.51375206889952163</v>
      </c>
      <c r="T9" s="8"/>
      <c r="AA9" s="13" t="s">
        <v>57</v>
      </c>
    </row>
    <row r="10" spans="1:27" ht="19">
      <c r="A10" s="3" t="s">
        <v>4</v>
      </c>
      <c r="B10" s="2" t="s">
        <v>82</v>
      </c>
      <c r="C10" s="5">
        <f>C6/C7</f>
        <v>1.28</v>
      </c>
      <c r="D10" s="5">
        <v>0.08</v>
      </c>
      <c r="E10" s="5">
        <v>0.193</v>
      </c>
      <c r="F10" s="15">
        <f>0.5*8/100</f>
        <v>0.04</v>
      </c>
      <c r="G10" s="5">
        <f>4.7*8/100/4</f>
        <v>9.4E-2</v>
      </c>
      <c r="H10" s="5"/>
      <c r="I10" s="5">
        <f>4.7*8/100/2.15</f>
        <v>0.17488372093023258</v>
      </c>
      <c r="J10" s="5">
        <f>4.7*8/100/4</f>
        <v>9.4E-2</v>
      </c>
      <c r="K10" s="5">
        <f>4.7*8/100/2.15</f>
        <v>0.17488372093023258</v>
      </c>
      <c r="L10" s="5">
        <f>4.7*8/100/4</f>
        <v>9.4E-2</v>
      </c>
      <c r="M10" s="5">
        <f>4.7*8/100/2.15</f>
        <v>0.17488372093023258</v>
      </c>
      <c r="N10" s="5">
        <f>N6/N7</f>
        <v>1.2987012987012988E-2</v>
      </c>
      <c r="O10" s="5">
        <f>O6/O7</f>
        <v>0.24096385542168672</v>
      </c>
      <c r="P10" s="5"/>
      <c r="Q10" s="5">
        <f>Q6/Q7</f>
        <v>0.18988844054118204</v>
      </c>
      <c r="R10" s="5">
        <f>R6/R7</f>
        <v>0.13679890560875513</v>
      </c>
      <c r="S10" s="5">
        <f>S6/S7</f>
        <v>0.19138755980861244</v>
      </c>
      <c r="T10" s="5"/>
      <c r="AA10" s="13"/>
    </row>
    <row r="11" spans="1:27">
      <c r="A11" s="3" t="s">
        <v>64</v>
      </c>
      <c r="B11" s="2" t="s">
        <v>29</v>
      </c>
      <c r="C11" s="5"/>
      <c r="D11" s="5"/>
      <c r="E11" s="5"/>
      <c r="F11" s="15">
        <v>0.5</v>
      </c>
      <c r="G11" s="63">
        <f>512/63</f>
        <v>8.1269841269841265</v>
      </c>
      <c r="H11" s="14"/>
      <c r="I11" s="14"/>
      <c r="J11" s="14"/>
      <c r="K11" s="14"/>
      <c r="L11" s="14"/>
      <c r="M11" s="14"/>
      <c r="N11" s="5"/>
      <c r="O11" s="8">
        <f>1-O7/Q7</f>
        <v>0.2119629717540944</v>
      </c>
      <c r="P11" s="8"/>
      <c r="Q11" s="8">
        <f>1-Q7/56.26</f>
        <v>0.25115535015997148</v>
      </c>
      <c r="R11" s="8">
        <f>1-R7/85.6</f>
        <v>0.31682242990654208</v>
      </c>
      <c r="S11" s="8">
        <f>1-S7/85.6</f>
        <v>0.51168224299065423</v>
      </c>
      <c r="T11" s="8"/>
    </row>
    <row r="12" spans="1:27">
      <c r="A12" s="3" t="s">
        <v>58</v>
      </c>
      <c r="C12" s="7">
        <v>8</v>
      </c>
      <c r="D12" s="7"/>
      <c r="E12" s="7"/>
      <c r="F12" s="15" t="s">
        <v>97</v>
      </c>
      <c r="G12" s="5"/>
      <c r="H12" s="5"/>
      <c r="I12" s="5"/>
      <c r="J12" s="5"/>
      <c r="K12" s="5"/>
      <c r="L12" s="5"/>
      <c r="M12" s="5"/>
      <c r="N12" s="7">
        <v>512</v>
      </c>
      <c r="O12" s="7">
        <v>32</v>
      </c>
      <c r="P12" s="8"/>
      <c r="Q12" s="8"/>
      <c r="R12" s="8"/>
      <c r="S12" s="8"/>
      <c r="T12" s="8"/>
    </row>
    <row r="13" spans="1:27">
      <c r="A13" s="3" t="s">
        <v>88</v>
      </c>
      <c r="B13" s="2" t="s">
        <v>89</v>
      </c>
      <c r="C13" s="5"/>
      <c r="D13" s="5"/>
      <c r="E13" s="5"/>
      <c r="F13" s="15">
        <v>128</v>
      </c>
      <c r="G13" s="5"/>
      <c r="H13" s="5"/>
      <c r="I13" s="5"/>
      <c r="J13" s="5"/>
      <c r="K13" s="5"/>
      <c r="L13" s="5"/>
      <c r="M13" s="5"/>
      <c r="N13" s="7">
        <v>4</v>
      </c>
      <c r="O13" s="6">
        <v>3.2</v>
      </c>
      <c r="P13" s="8"/>
      <c r="Q13" s="8"/>
      <c r="R13" s="8"/>
      <c r="S13" s="8"/>
      <c r="T13" s="8"/>
    </row>
    <row r="14" spans="1:27">
      <c r="A14" s="3" t="s">
        <v>42</v>
      </c>
      <c r="B14" s="2" t="s">
        <v>94</v>
      </c>
      <c r="C14" s="5"/>
      <c r="D14" s="5" t="s">
        <v>119</v>
      </c>
      <c r="E14" s="5" t="s">
        <v>212</v>
      </c>
      <c r="F14" s="15" t="s">
        <v>174</v>
      </c>
      <c r="G14" s="5"/>
      <c r="H14" s="5"/>
      <c r="I14" s="5"/>
      <c r="J14" s="5"/>
      <c r="K14" s="5"/>
      <c r="L14" s="5"/>
      <c r="M14" s="5"/>
      <c r="N14" s="7">
        <v>4</v>
      </c>
      <c r="O14" s="7">
        <v>47</v>
      </c>
      <c r="P14" s="8"/>
      <c r="Q14" s="8"/>
      <c r="R14" s="8"/>
      <c r="S14" s="8"/>
      <c r="T14" s="8"/>
    </row>
    <row r="15" spans="1:27">
      <c r="A15" s="3" t="s">
        <v>95</v>
      </c>
      <c r="B15" s="2" t="s">
        <v>94</v>
      </c>
      <c r="C15" s="5"/>
      <c r="D15" s="5" t="s">
        <v>211</v>
      </c>
      <c r="E15" s="5" t="s">
        <v>119</v>
      </c>
      <c r="F15" s="15">
        <v>6.5</v>
      </c>
      <c r="G15" s="6"/>
      <c r="H15" s="6"/>
      <c r="I15" s="6"/>
      <c r="J15" s="6"/>
      <c r="K15" s="6"/>
      <c r="L15" s="6"/>
      <c r="M15" s="6"/>
      <c r="N15" s="7"/>
      <c r="O15" s="7">
        <v>2</v>
      </c>
      <c r="P15" s="8"/>
      <c r="Q15" s="8"/>
      <c r="R15" s="8"/>
      <c r="S15" s="8"/>
      <c r="T15" s="8"/>
    </row>
    <row r="16" spans="1:27">
      <c r="C16" s="5"/>
      <c r="D16" s="5"/>
      <c r="E16" s="5"/>
      <c r="G16" s="5"/>
      <c r="H16" s="5"/>
      <c r="I16" s="5"/>
      <c r="J16" s="5"/>
      <c r="K16" s="5"/>
      <c r="L16" s="5"/>
      <c r="M16" s="5"/>
      <c r="N16" s="1"/>
      <c r="O16" s="8"/>
      <c r="P16" s="8"/>
      <c r="Q16" s="8"/>
      <c r="R16" s="8"/>
      <c r="S16" s="8"/>
      <c r="T16" s="8"/>
    </row>
    <row r="17" spans="1:20">
      <c r="C17" s="5"/>
      <c r="D17" s="5"/>
      <c r="E17" s="5"/>
      <c r="G17" s="5"/>
      <c r="H17" s="5"/>
      <c r="I17" s="5"/>
      <c r="J17" s="5"/>
      <c r="K17" s="5"/>
      <c r="L17" s="5"/>
      <c r="M17" s="5"/>
      <c r="N17" s="5"/>
      <c r="O17" s="8"/>
      <c r="P17" s="8"/>
      <c r="Q17" s="8"/>
      <c r="R17" s="8"/>
      <c r="S17" s="8"/>
      <c r="T17" s="8"/>
    </row>
    <row r="18" spans="1:20">
      <c r="A18" s="3" t="s">
        <v>83</v>
      </c>
      <c r="B18" s="2" t="s">
        <v>6</v>
      </c>
      <c r="C18" s="2">
        <v>32</v>
      </c>
      <c r="F18" s="15">
        <v>128</v>
      </c>
      <c r="N18" s="2">
        <v>128</v>
      </c>
      <c r="O18" s="2">
        <v>16</v>
      </c>
      <c r="Q18" s="2">
        <v>16</v>
      </c>
      <c r="R18" s="2">
        <v>16</v>
      </c>
      <c r="S18" s="2">
        <v>16</v>
      </c>
      <c r="T18" s="2"/>
    </row>
    <row r="19" spans="1:20">
      <c r="A19" s="3" t="s">
        <v>5</v>
      </c>
      <c r="B19" s="2" t="s">
        <v>16</v>
      </c>
      <c r="C19" s="2">
        <f>C6*1024/C18</f>
        <v>8192</v>
      </c>
      <c r="F19" s="15">
        <v>8</v>
      </c>
      <c r="N19" s="2">
        <f>N6*1024/N18</f>
        <v>8</v>
      </c>
      <c r="O19" s="2">
        <f>O6*1024/O18</f>
        <v>512</v>
      </c>
      <c r="Q19" s="2">
        <f>Q6*1024/Q18</f>
        <v>512</v>
      </c>
      <c r="R19" s="2">
        <f>R6*1024/R18</f>
        <v>512</v>
      </c>
      <c r="S19" s="2">
        <f>S6*1024/S18</f>
        <v>512</v>
      </c>
      <c r="T19" s="2"/>
    </row>
    <row r="20" spans="1:20">
      <c r="A20" s="3" t="s">
        <v>7</v>
      </c>
      <c r="B20" s="2" t="s">
        <v>8</v>
      </c>
      <c r="C20" s="2">
        <v>128</v>
      </c>
      <c r="F20" s="15">
        <v>4</v>
      </c>
      <c r="N20" s="2">
        <v>4</v>
      </c>
      <c r="O20" s="2">
        <v>32</v>
      </c>
      <c r="Q20" s="2">
        <v>1</v>
      </c>
      <c r="R20" s="2">
        <v>1</v>
      </c>
      <c r="S20" s="2">
        <v>1</v>
      </c>
      <c r="T20" s="2"/>
    </row>
    <row r="21" spans="1:20">
      <c r="A21" s="3" t="s">
        <v>9</v>
      </c>
      <c r="B21" s="2" t="s">
        <v>17</v>
      </c>
      <c r="C21" s="2">
        <f>C19/C20</f>
        <v>64</v>
      </c>
      <c r="F21" s="15">
        <v>2</v>
      </c>
      <c r="G21" s="5"/>
      <c r="H21" s="5"/>
      <c r="I21" s="5"/>
      <c r="J21" s="5"/>
      <c r="K21" s="5"/>
      <c r="L21" s="5"/>
      <c r="M21" s="5"/>
      <c r="N21" s="2">
        <f>N19/N20</f>
        <v>2</v>
      </c>
      <c r="O21" s="2">
        <f>O19/O20</f>
        <v>16</v>
      </c>
      <c r="Q21" s="2">
        <f>Q19/Q20</f>
        <v>512</v>
      </c>
      <c r="R21" s="2">
        <f>R19/R20</f>
        <v>512</v>
      </c>
      <c r="S21" s="2">
        <f>S19/S20</f>
        <v>512</v>
      </c>
      <c r="T21" s="2"/>
    </row>
    <row r="22" spans="1:20">
      <c r="A22" s="3" t="s">
        <v>71</v>
      </c>
      <c r="B22" s="2" t="s">
        <v>10</v>
      </c>
      <c r="C22" s="2">
        <v>4</v>
      </c>
      <c r="F22" s="15">
        <v>8</v>
      </c>
      <c r="N22" s="2">
        <v>8</v>
      </c>
      <c r="O22" s="2">
        <v>16</v>
      </c>
      <c r="Q22" s="2">
        <v>1</v>
      </c>
      <c r="R22" s="2">
        <v>1</v>
      </c>
      <c r="S22" s="2">
        <v>1</v>
      </c>
      <c r="T22" s="2"/>
    </row>
    <row r="23" spans="1:20">
      <c r="A23" s="3" t="s">
        <v>72</v>
      </c>
      <c r="B23" s="2" t="s">
        <v>11</v>
      </c>
      <c r="C23" s="2">
        <f>C21/C22</f>
        <v>16</v>
      </c>
      <c r="F23" s="15">
        <f>1024*128/1024/1024</f>
        <v>0.125</v>
      </c>
      <c r="N23" s="2">
        <f>N21/N22</f>
        <v>0.25</v>
      </c>
      <c r="O23" s="2">
        <f>O21/O22</f>
        <v>1</v>
      </c>
      <c r="Q23" s="2">
        <f>Q21/Q22</f>
        <v>512</v>
      </c>
      <c r="R23" s="2">
        <f>R21/R22</f>
        <v>512</v>
      </c>
      <c r="S23" s="2">
        <f>S21/S22</f>
        <v>512</v>
      </c>
      <c r="T23" s="2"/>
    </row>
    <row r="24" spans="1:20">
      <c r="A24" s="3" t="s">
        <v>13</v>
      </c>
      <c r="B24" s="2" t="s">
        <v>12</v>
      </c>
      <c r="C24" s="2">
        <v>4096</v>
      </c>
      <c r="F24" s="15">
        <v>1024</v>
      </c>
      <c r="N24" s="2">
        <v>1024</v>
      </c>
      <c r="O24" s="2">
        <v>1024</v>
      </c>
      <c r="Q24" s="2">
        <f>Q26*Q27</f>
        <v>4096</v>
      </c>
      <c r="R24" s="2">
        <f>R26*R27</f>
        <v>4096</v>
      </c>
      <c r="S24" s="2">
        <f>S26*S27</f>
        <v>4096</v>
      </c>
      <c r="T24" s="2"/>
    </row>
    <row r="25" spans="1:20">
      <c r="A25" s="3" t="s">
        <v>14</v>
      </c>
      <c r="B25" s="2" t="s">
        <v>15</v>
      </c>
      <c r="C25" s="2">
        <f>C23*1024*1024/C24</f>
        <v>4096</v>
      </c>
      <c r="F25" s="15" t="s">
        <v>124</v>
      </c>
      <c r="J25" s="2" t="s">
        <v>201</v>
      </c>
      <c r="N25" s="2">
        <f>N23*1024*1024/N24</f>
        <v>256</v>
      </c>
      <c r="O25" s="2">
        <f>O23*1024*1024/O24</f>
        <v>1024</v>
      </c>
      <c r="Q25" s="2">
        <f>Q23*1024*1024/Q24</f>
        <v>131072</v>
      </c>
      <c r="R25" s="2">
        <f>R23*1024*1024/R24</f>
        <v>131072</v>
      </c>
      <c r="S25" s="2">
        <f>S23*1024*1024/S24</f>
        <v>131072</v>
      </c>
      <c r="T25" s="2"/>
    </row>
    <row r="26" spans="1:20">
      <c r="A26" s="3" t="s">
        <v>58</v>
      </c>
      <c r="B26" s="2" t="s">
        <v>59</v>
      </c>
      <c r="C26" s="2">
        <v>1</v>
      </c>
      <c r="F26" s="15">
        <v>128</v>
      </c>
      <c r="N26" s="2">
        <v>128</v>
      </c>
      <c r="O26" s="2">
        <v>32</v>
      </c>
      <c r="Q26" s="2">
        <v>32</v>
      </c>
      <c r="R26" s="2">
        <v>32</v>
      </c>
      <c r="S26" s="2">
        <v>32</v>
      </c>
      <c r="T26" s="2"/>
    </row>
    <row r="27" spans="1:20">
      <c r="A27" s="3" t="s">
        <v>18</v>
      </c>
      <c r="B27" s="2" t="s">
        <v>22</v>
      </c>
      <c r="C27" s="2">
        <f>C24/C26</f>
        <v>4096</v>
      </c>
      <c r="F27" s="15">
        <v>16</v>
      </c>
      <c r="N27" s="2">
        <f>N24/N26</f>
        <v>8</v>
      </c>
      <c r="O27" s="2">
        <f>128</f>
        <v>128</v>
      </c>
      <c r="Q27" s="2">
        <f>128</f>
        <v>128</v>
      </c>
      <c r="R27" s="2">
        <f>128</f>
        <v>128</v>
      </c>
      <c r="S27" s="2">
        <f>128</f>
        <v>128</v>
      </c>
      <c r="T27" s="2"/>
    </row>
    <row r="28" spans="1:20" ht="19">
      <c r="A28" s="3" t="s">
        <v>19</v>
      </c>
      <c r="B28" s="2" t="s">
        <v>21</v>
      </c>
      <c r="C28" s="4">
        <f>0.041^2/4</f>
        <v>4.2025000000000005E-4</v>
      </c>
      <c r="D28" s="4"/>
      <c r="E28" s="4"/>
      <c r="F28" s="61">
        <f>0.108*0.135</f>
        <v>1.4580000000000001E-2</v>
      </c>
      <c r="N28" s="2">
        <v>2.9000000000000001E-2</v>
      </c>
      <c r="O28" s="2">
        <f>O33*O34/1000000</f>
        <v>2.392E-3</v>
      </c>
      <c r="Q28" s="2">
        <v>2.5999999999999999E-3</v>
      </c>
      <c r="R28" s="2">
        <v>3.3E-3</v>
      </c>
      <c r="S28" s="2">
        <v>2.5000000000000001E-3</v>
      </c>
      <c r="T28" s="2"/>
    </row>
    <row r="29" spans="1:20">
      <c r="A29" s="3" t="s">
        <v>179</v>
      </c>
      <c r="B29" s="2" t="s">
        <v>180</v>
      </c>
      <c r="C29" s="4" t="s">
        <v>73</v>
      </c>
      <c r="D29" s="4"/>
      <c r="E29" s="4"/>
      <c r="F29" s="15" t="s">
        <v>31</v>
      </c>
      <c r="G29" s="2" t="s">
        <v>31</v>
      </c>
      <c r="H29" s="2" t="s">
        <v>65</v>
      </c>
      <c r="I29" s="2" t="s">
        <v>65</v>
      </c>
      <c r="J29" s="2" t="s">
        <v>31</v>
      </c>
      <c r="K29" s="2" t="s">
        <v>65</v>
      </c>
      <c r="L29" s="2" t="s">
        <v>31</v>
      </c>
      <c r="M29" s="2" t="s">
        <v>65</v>
      </c>
      <c r="O29" s="6">
        <f>O28*1000000/O32^2*4</f>
        <v>9.1144642584971809</v>
      </c>
      <c r="S29" s="2"/>
      <c r="T29" s="2"/>
    </row>
    <row r="30" spans="1:20">
      <c r="A30" s="3" t="s">
        <v>79</v>
      </c>
      <c r="B30" s="2" t="s">
        <v>20</v>
      </c>
      <c r="C30" s="7">
        <v>41</v>
      </c>
      <c r="D30" s="7"/>
      <c r="E30" s="7"/>
      <c r="F30" s="15">
        <v>108</v>
      </c>
      <c r="G30" s="2">
        <v>60</v>
      </c>
      <c r="I30" s="2">
        <v>50</v>
      </c>
      <c r="J30" s="2">
        <v>60</v>
      </c>
      <c r="K30" s="2">
        <v>50</v>
      </c>
      <c r="L30" s="2">
        <v>60</v>
      </c>
      <c r="M30" s="2">
        <v>50</v>
      </c>
      <c r="N30" s="2">
        <v>108</v>
      </c>
      <c r="S30" s="2"/>
      <c r="T30" s="2"/>
    </row>
    <row r="31" spans="1:20">
      <c r="A31" s="3" t="s">
        <v>80</v>
      </c>
      <c r="B31" s="2" t="s">
        <v>20</v>
      </c>
      <c r="C31" s="7">
        <v>41</v>
      </c>
      <c r="D31" s="7"/>
      <c r="E31" s="7"/>
      <c r="F31" s="15">
        <v>135</v>
      </c>
      <c r="G31" s="2">
        <v>90</v>
      </c>
      <c r="I31" s="2">
        <v>52</v>
      </c>
      <c r="J31" s="2">
        <v>90</v>
      </c>
      <c r="K31" s="2">
        <v>52</v>
      </c>
      <c r="L31" s="2">
        <v>90</v>
      </c>
      <c r="M31" s="2">
        <v>52</v>
      </c>
      <c r="N31" s="2">
        <v>270</v>
      </c>
      <c r="S31" s="2"/>
      <c r="T31" s="2"/>
    </row>
    <row r="32" spans="1:20">
      <c r="A32" s="3" t="s">
        <v>60</v>
      </c>
      <c r="B32" s="2" t="s">
        <v>20</v>
      </c>
      <c r="F32" s="15">
        <v>108</v>
      </c>
      <c r="G32" s="2">
        <v>60</v>
      </c>
      <c r="I32" s="2">
        <v>50</v>
      </c>
      <c r="J32" s="2">
        <v>60</v>
      </c>
      <c r="K32" s="2">
        <v>50</v>
      </c>
      <c r="L32" s="2">
        <v>60</v>
      </c>
      <c r="M32" s="2">
        <v>50</v>
      </c>
      <c r="O32" s="2">
        <v>32.4</v>
      </c>
      <c r="Q32" s="2">
        <v>37</v>
      </c>
      <c r="R32" s="2">
        <v>38</v>
      </c>
      <c r="S32" s="2">
        <v>38</v>
      </c>
      <c r="T32" s="2"/>
    </row>
    <row r="33" spans="1:20">
      <c r="A33" s="3" t="s">
        <v>25</v>
      </c>
      <c r="B33" s="2" t="s">
        <v>20</v>
      </c>
      <c r="C33" s="2">
        <v>41</v>
      </c>
      <c r="F33" s="15">
        <v>108</v>
      </c>
      <c r="G33" s="2">
        <v>60</v>
      </c>
      <c r="I33" s="2">
        <f>50</f>
        <v>50</v>
      </c>
      <c r="J33" s="2">
        <v>60</v>
      </c>
      <c r="K33" s="2">
        <f>50</f>
        <v>50</v>
      </c>
      <c r="L33" s="2">
        <v>60</v>
      </c>
      <c r="M33" s="2">
        <f>50</f>
        <v>50</v>
      </c>
      <c r="N33" s="2">
        <v>108</v>
      </c>
      <c r="O33" s="2">
        <v>46</v>
      </c>
      <c r="Q33" s="2">
        <v>48</v>
      </c>
      <c r="R33" s="2">
        <v>53</v>
      </c>
      <c r="S33" s="2">
        <v>47</v>
      </c>
      <c r="T33" s="2"/>
    </row>
    <row r="34" spans="1:20">
      <c r="A34" s="3" t="s">
        <v>26</v>
      </c>
      <c r="B34" s="2" t="s">
        <v>20</v>
      </c>
      <c r="C34" s="7">
        <v>41</v>
      </c>
      <c r="D34" s="7"/>
      <c r="E34" s="7"/>
      <c r="F34" s="15">
        <v>135</v>
      </c>
      <c r="G34" s="7">
        <v>90</v>
      </c>
      <c r="H34" s="7"/>
      <c r="I34" s="7">
        <f>60*1.73/2</f>
        <v>51.9</v>
      </c>
      <c r="J34" s="7">
        <v>90</v>
      </c>
      <c r="K34" s="7">
        <f>60*1.73/2</f>
        <v>51.9</v>
      </c>
      <c r="L34" s="7">
        <v>90</v>
      </c>
      <c r="M34" s="7">
        <f>60*1.73/2</f>
        <v>51.9</v>
      </c>
      <c r="N34" s="7">
        <v>270</v>
      </c>
      <c r="O34" s="7">
        <v>52</v>
      </c>
      <c r="P34" s="7"/>
      <c r="Q34" s="7">
        <v>54</v>
      </c>
      <c r="R34" s="7">
        <v>62</v>
      </c>
      <c r="S34" s="7">
        <v>54</v>
      </c>
      <c r="T34" s="7"/>
    </row>
    <row r="35" spans="1:20">
      <c r="A35" s="3" t="s">
        <v>69</v>
      </c>
      <c r="B35" s="2" t="s">
        <v>20</v>
      </c>
      <c r="C35" s="7"/>
      <c r="D35" s="7"/>
      <c r="E35" s="7"/>
      <c r="F35" s="15">
        <v>500</v>
      </c>
      <c r="G35" s="7">
        <v>1000</v>
      </c>
      <c r="H35" s="7"/>
      <c r="I35" s="7">
        <v>1000</v>
      </c>
      <c r="J35" s="7">
        <v>1000</v>
      </c>
      <c r="K35" s="7">
        <v>1000</v>
      </c>
      <c r="L35" s="7">
        <v>1000</v>
      </c>
      <c r="M35" s="7">
        <v>1000</v>
      </c>
      <c r="N35" s="7">
        <v>550</v>
      </c>
      <c r="O35" s="7">
        <v>1090</v>
      </c>
      <c r="P35" s="7"/>
      <c r="Q35" s="7">
        <v>1356</v>
      </c>
      <c r="R35" s="7">
        <v>1635</v>
      </c>
      <c r="S35" s="7">
        <v>1200</v>
      </c>
      <c r="T35" s="7"/>
    </row>
    <row r="36" spans="1:20">
      <c r="A36" s="3" t="s">
        <v>30</v>
      </c>
      <c r="B36" s="2" t="s">
        <v>185</v>
      </c>
      <c r="C36" s="7" t="s">
        <v>73</v>
      </c>
      <c r="D36" s="7"/>
      <c r="E36" s="7"/>
      <c r="F36" s="15" t="s">
        <v>31</v>
      </c>
      <c r="G36" s="7" t="s">
        <v>31</v>
      </c>
      <c r="H36" s="7"/>
      <c r="I36" s="7" t="s">
        <v>65</v>
      </c>
      <c r="J36" s="7" t="s">
        <v>31</v>
      </c>
      <c r="K36" s="7" t="s">
        <v>65</v>
      </c>
      <c r="L36" s="7" t="s">
        <v>31</v>
      </c>
      <c r="M36" s="7" t="s">
        <v>65</v>
      </c>
      <c r="N36" s="7" t="s">
        <v>31</v>
      </c>
      <c r="O36" s="7" t="s">
        <v>65</v>
      </c>
      <c r="P36" s="7"/>
      <c r="Q36" s="7" t="s">
        <v>65</v>
      </c>
      <c r="R36" s="7" t="s">
        <v>65</v>
      </c>
      <c r="S36" s="7" t="s">
        <v>65</v>
      </c>
      <c r="T36" s="7"/>
    </row>
    <row r="37" spans="1:20">
      <c r="A37" s="3" t="s">
        <v>77</v>
      </c>
      <c r="B37" s="2" t="s">
        <v>63</v>
      </c>
      <c r="C37" s="7"/>
      <c r="D37" s="7">
        <v>5</v>
      </c>
      <c r="E37" s="7">
        <v>15</v>
      </c>
      <c r="F37" s="15">
        <f>0.00000000000885*50*(2*F35*(89+64))*0.001/0.000000006</f>
        <v>11.283750000000001</v>
      </c>
      <c r="G37" s="7">
        <f>0.00000000000885*50*(2*G35*(75+44))*0.001/0.000000006</f>
        <v>17.552499999999998</v>
      </c>
      <c r="H37" s="7"/>
      <c r="I37" s="7">
        <f>0.00000000000885*50*(2*I35*(55+45))*0.001/0.000000006</f>
        <v>14.750000000000004</v>
      </c>
      <c r="J37" s="7">
        <f>0.00000000000885*50*(2*J35*(75+44))*0.001/0.000000006</f>
        <v>17.552499999999998</v>
      </c>
      <c r="K37" s="7">
        <f>0.00000000000885*50*(2*K35*(55+45))*0.001/0.000000006</f>
        <v>14.750000000000004</v>
      </c>
      <c r="L37" s="7">
        <f>0.00000000000885*50*(2*L35*(75+44))*0.001/0.000000006</f>
        <v>17.552499999999998</v>
      </c>
      <c r="M37" s="7">
        <f>0.00000000000885*50*(2*M35*(55+45))*0.001/0.000000006</f>
        <v>14.750000000000004</v>
      </c>
      <c r="N37" s="7">
        <v>13</v>
      </c>
      <c r="O37" s="6">
        <v>12.1</v>
      </c>
      <c r="P37" s="6"/>
      <c r="Q37" s="6">
        <v>12.1</v>
      </c>
      <c r="R37" s="6"/>
      <c r="S37" s="6"/>
      <c r="T37" s="6"/>
    </row>
    <row r="38" spans="1:20">
      <c r="A38" s="3" t="s">
        <v>176</v>
      </c>
      <c r="B38" s="2" t="s">
        <v>20</v>
      </c>
      <c r="C38" s="7"/>
      <c r="D38" s="7"/>
      <c r="E38" s="7"/>
      <c r="F38" s="15">
        <v>73</v>
      </c>
      <c r="G38" s="7">
        <v>45</v>
      </c>
      <c r="H38" s="7"/>
      <c r="I38" s="7">
        <v>35</v>
      </c>
      <c r="J38" s="7">
        <v>120</v>
      </c>
      <c r="K38" s="7">
        <v>120</v>
      </c>
      <c r="L38" s="7">
        <v>80</v>
      </c>
      <c r="M38" s="7">
        <v>75</v>
      </c>
      <c r="N38" s="7"/>
      <c r="O38" s="6"/>
      <c r="P38" s="6"/>
      <c r="Q38" s="6"/>
      <c r="R38" s="6"/>
      <c r="S38" s="6"/>
      <c r="T38" s="6"/>
    </row>
    <row r="39" spans="1:20">
      <c r="A39" s="3" t="s">
        <v>177</v>
      </c>
      <c r="B39" s="2" t="s">
        <v>20</v>
      </c>
      <c r="C39" s="7"/>
      <c r="D39" s="7"/>
      <c r="E39" s="7"/>
      <c r="F39" s="15">
        <v>27.5</v>
      </c>
      <c r="G39" s="7">
        <v>17</v>
      </c>
      <c r="H39" s="7"/>
      <c r="I39" s="7">
        <v>15</v>
      </c>
      <c r="J39" s="7">
        <v>17</v>
      </c>
      <c r="K39" s="7">
        <v>15</v>
      </c>
      <c r="L39" s="7">
        <v>75</v>
      </c>
      <c r="M39" s="7">
        <v>45</v>
      </c>
      <c r="N39" s="7"/>
      <c r="O39" s="6"/>
      <c r="P39" s="6"/>
      <c r="Q39" s="6"/>
      <c r="R39" s="6"/>
      <c r="S39" s="6"/>
      <c r="T39" s="6"/>
    </row>
    <row r="40" spans="1:20">
      <c r="A40" s="3" t="s">
        <v>62</v>
      </c>
      <c r="B40" s="2" t="s">
        <v>84</v>
      </c>
      <c r="C40" s="6">
        <v>2.5</v>
      </c>
      <c r="D40" s="6">
        <v>30</v>
      </c>
      <c r="E40" s="6">
        <v>20</v>
      </c>
      <c r="F40" s="15">
        <f>0.03125*1000</f>
        <v>31.25</v>
      </c>
      <c r="G40" s="5">
        <f t="shared" ref="G40:M40" si="0">$F40*G39*G38/($F39*$F38)</f>
        <v>11.908468244084682</v>
      </c>
      <c r="H40" s="5"/>
      <c r="I40" s="5">
        <f t="shared" si="0"/>
        <v>8.1724782067247812</v>
      </c>
      <c r="J40" s="5">
        <f t="shared" si="0"/>
        <v>31.755915317559154</v>
      </c>
      <c r="K40" s="5">
        <f t="shared" si="0"/>
        <v>28.019925280199253</v>
      </c>
      <c r="L40" s="5">
        <f t="shared" si="0"/>
        <v>93.39975093399751</v>
      </c>
      <c r="M40" s="5">
        <f t="shared" si="0"/>
        <v>52.537359900373602</v>
      </c>
      <c r="N40" s="16">
        <f>3500/128</f>
        <v>27.34375</v>
      </c>
      <c r="P40" s="6"/>
      <c r="Q40" s="16">
        <f>22000/1024</f>
        <v>21.484375</v>
      </c>
      <c r="R40" s="6"/>
      <c r="S40" s="6"/>
      <c r="T40" s="6"/>
    </row>
    <row r="41" spans="1:20">
      <c r="A41" s="3" t="s">
        <v>32</v>
      </c>
      <c r="B41" s="2" t="s">
        <v>33</v>
      </c>
      <c r="C41" s="6" t="s">
        <v>75</v>
      </c>
      <c r="D41" s="6">
        <v>2</v>
      </c>
      <c r="E41" s="6">
        <v>5</v>
      </c>
      <c r="F41" s="15">
        <f>0.0000025*0.01*0.000000135/(0.00000004*0.000000056)</f>
        <v>1.5066964285714286</v>
      </c>
      <c r="G41" s="15">
        <f>$F41*G34/$F34</f>
        <v>1.0044642857142858</v>
      </c>
      <c r="H41" s="15"/>
      <c r="I41" s="15">
        <f>$F41*I34/$F34</f>
        <v>0.5792410714285714</v>
      </c>
      <c r="J41" s="15">
        <f>$F41*J34/$F34</f>
        <v>1.0044642857142858</v>
      </c>
      <c r="K41" s="15">
        <f>$F41*K34/$F34</f>
        <v>0.5792410714285714</v>
      </c>
      <c r="L41" s="15">
        <f>$F41*L34/$F34</f>
        <v>1.0044642857142858</v>
      </c>
      <c r="M41" s="15">
        <f>$F41*M34/$F34</f>
        <v>0.5792410714285714</v>
      </c>
      <c r="N41" s="7">
        <f>2300/1024</f>
        <v>2.24609375</v>
      </c>
      <c r="O41" s="7"/>
      <c r="P41" s="7"/>
      <c r="Q41" s="7">
        <f>12000/1024</f>
        <v>11.71875</v>
      </c>
      <c r="R41" s="7"/>
    </row>
    <row r="42" spans="1:20">
      <c r="A42" s="3" t="s">
        <v>34</v>
      </c>
      <c r="B42" s="2" t="s">
        <v>33</v>
      </c>
      <c r="C42" s="6">
        <v>4.8</v>
      </c>
      <c r="D42" s="6">
        <v>5</v>
      </c>
      <c r="E42" s="6">
        <v>10</v>
      </c>
      <c r="F42" s="18">
        <f>600/128</f>
        <v>4.6875</v>
      </c>
      <c r="G42" s="18">
        <f>$F42*G33/$F33</f>
        <v>2.6041666666666665</v>
      </c>
      <c r="H42" s="18"/>
      <c r="I42" s="18">
        <f>$F42*I33/$F33</f>
        <v>2.1701388888888888</v>
      </c>
      <c r="J42" s="18">
        <f>$F42*J33/$F33</f>
        <v>2.6041666666666665</v>
      </c>
      <c r="K42" s="18">
        <f>$F42*K33/$F33</f>
        <v>2.1701388888888888</v>
      </c>
      <c r="L42" s="18">
        <f>$F42*L33/$F33</f>
        <v>2.6041666666666665</v>
      </c>
      <c r="M42" s="18">
        <f>$F42*M33/$F33</f>
        <v>2.1701388888888888</v>
      </c>
      <c r="N42" s="19">
        <f>800/128</f>
        <v>6.25</v>
      </c>
      <c r="O42" s="8"/>
      <c r="P42" s="8"/>
      <c r="Q42" s="19">
        <f>8000/1024</f>
        <v>7.8125</v>
      </c>
      <c r="R42" s="8"/>
    </row>
    <row r="43" spans="1:20">
      <c r="A43" s="3" t="s">
        <v>35</v>
      </c>
      <c r="B43" s="2" t="s">
        <v>84</v>
      </c>
      <c r="C43" s="8" t="s">
        <v>76</v>
      </c>
      <c r="D43" s="18">
        <v>100</v>
      </c>
      <c r="E43" s="18">
        <v>20</v>
      </c>
      <c r="F43" s="18">
        <f>90000/1024</f>
        <v>87.890625</v>
      </c>
      <c r="G43" s="18">
        <f>F43*G34/$F34</f>
        <v>58.59375</v>
      </c>
      <c r="H43" s="18"/>
      <c r="I43" s="18">
        <f>G43*I34/$F34</f>
        <v>22.526041666666668</v>
      </c>
      <c r="J43" s="18">
        <f>I43*J34/$F34</f>
        <v>15.017361111111111</v>
      </c>
      <c r="K43" s="18">
        <f>J43*K34/$F34</f>
        <v>5.773341049382716</v>
      </c>
      <c r="L43" s="18">
        <f>K43*L34/$F34</f>
        <v>3.8488940329218106</v>
      </c>
      <c r="M43" s="18">
        <f>L43*M34/$F34</f>
        <v>1.4796859282121628</v>
      </c>
      <c r="N43" s="18">
        <f>50000/1024</f>
        <v>48.828125</v>
      </c>
      <c r="O43" s="20"/>
      <c r="P43" s="20"/>
      <c r="Q43" s="18">
        <f>29000/1024</f>
        <v>28.3203125</v>
      </c>
      <c r="R43" s="8"/>
    </row>
    <row r="44" spans="1:20">
      <c r="A44" s="3" t="s">
        <v>36</v>
      </c>
      <c r="B44" s="2" t="s">
        <v>84</v>
      </c>
      <c r="C44" s="15">
        <v>10.8</v>
      </c>
      <c r="D44" s="15">
        <v>120</v>
      </c>
      <c r="E44" s="15">
        <v>100</v>
      </c>
      <c r="F44" s="18">
        <f>(6000+4000+5000)/128</f>
        <v>117.1875</v>
      </c>
      <c r="G44" s="23">
        <f>(1000*G46+4000*G33/$F33*$F34/G34+5000*20/30)/128</f>
        <v>83.333333333333343</v>
      </c>
      <c r="H44" s="23"/>
      <c r="I44" s="23">
        <f>(1000*I46+4000*I33/$F33*$F34/I34+5000*20/30)/128</f>
        <v>102.73663294797689</v>
      </c>
      <c r="J44" s="23">
        <f>(1000*J46+4000*J33/$F33*$F34/J34+5000*20/30)/128</f>
        <v>83.333333333333343</v>
      </c>
      <c r="K44" s="23">
        <f>(1000*K46+4000*K33/$F33*$F34/K34+5000*20/30)/128</f>
        <v>102.73663294797689</v>
      </c>
      <c r="L44" s="23">
        <f>(1000*L46+4000*L33/$F33*$F34/L34+5000*20/30)/128</f>
        <v>83.333333333333343</v>
      </c>
      <c r="M44" s="23">
        <f>(4000+4000*M33/$F33+5000*20/30)/128</f>
        <v>71.759259259259267</v>
      </c>
      <c r="N44" s="18">
        <v>80</v>
      </c>
      <c r="O44" s="18"/>
      <c r="P44" s="18"/>
      <c r="Q44" s="18">
        <f>19000/1024</f>
        <v>18.5546875</v>
      </c>
      <c r="R44" s="18"/>
    </row>
    <row r="45" spans="1:20">
      <c r="A45" s="3" t="s">
        <v>199</v>
      </c>
      <c r="C45" s="15"/>
      <c r="D45" s="15"/>
      <c r="E45" s="15"/>
      <c r="F45" s="18"/>
      <c r="G45" s="23"/>
      <c r="H45" s="23"/>
      <c r="I45" s="23"/>
      <c r="J45" s="23"/>
      <c r="K45" s="23"/>
      <c r="L45" s="23"/>
      <c r="M45" s="23"/>
      <c r="N45" s="18"/>
      <c r="O45" s="18"/>
      <c r="P45" s="18"/>
      <c r="Q45" s="18"/>
      <c r="R45" s="18"/>
    </row>
    <row r="46" spans="1:20" ht="18">
      <c r="A46" s="3" t="s">
        <v>189</v>
      </c>
      <c r="B46" s="2" t="s">
        <v>93</v>
      </c>
      <c r="C46" s="18"/>
      <c r="D46" s="18">
        <v>6.2</v>
      </c>
      <c r="E46" s="18">
        <v>6.2</v>
      </c>
      <c r="F46" s="18">
        <v>6.2</v>
      </c>
      <c r="G46" s="18">
        <v>4</v>
      </c>
      <c r="H46" s="18"/>
      <c r="I46" s="18">
        <v>5</v>
      </c>
      <c r="J46" s="18">
        <v>4</v>
      </c>
      <c r="K46" s="18">
        <v>5</v>
      </c>
      <c r="L46" s="18">
        <v>4</v>
      </c>
      <c r="M46" s="18">
        <v>5</v>
      </c>
      <c r="N46" s="18">
        <v>7</v>
      </c>
      <c r="O46" s="18"/>
      <c r="P46" s="18"/>
      <c r="Q46" s="18" t="s">
        <v>123</v>
      </c>
      <c r="R46" s="18"/>
    </row>
    <row r="47" spans="1:20">
      <c r="A47" s="3" t="s">
        <v>205</v>
      </c>
      <c r="B47" s="2" t="s">
        <v>191</v>
      </c>
      <c r="C47" s="18"/>
      <c r="D47" s="18">
        <v>1024</v>
      </c>
      <c r="E47" s="18">
        <v>2048</v>
      </c>
      <c r="F47" s="18">
        <v>1024</v>
      </c>
      <c r="G47" s="18">
        <v>1024</v>
      </c>
      <c r="H47" s="18">
        <v>1024</v>
      </c>
      <c r="I47" s="18">
        <v>1024</v>
      </c>
      <c r="J47" s="18">
        <v>1024</v>
      </c>
      <c r="K47" s="18">
        <v>1024</v>
      </c>
      <c r="L47" s="18">
        <v>1024</v>
      </c>
      <c r="M47" s="18">
        <v>1024</v>
      </c>
      <c r="N47" s="18"/>
      <c r="O47" s="18"/>
      <c r="P47" s="18"/>
      <c r="Q47" s="18"/>
      <c r="R47" s="18"/>
    </row>
    <row r="48" spans="1:20">
      <c r="A48" s="3" t="s">
        <v>190</v>
      </c>
      <c r="B48" s="2" t="s">
        <v>191</v>
      </c>
      <c r="C48" s="1"/>
      <c r="D48" s="18">
        <v>128</v>
      </c>
      <c r="E48" s="18">
        <v>256</v>
      </c>
      <c r="F48" s="18">
        <v>128</v>
      </c>
      <c r="G48" s="18">
        <v>128</v>
      </c>
      <c r="H48" s="18">
        <v>128</v>
      </c>
      <c r="I48" s="18">
        <v>128</v>
      </c>
      <c r="J48" s="18">
        <v>128</v>
      </c>
      <c r="K48" s="18">
        <v>128</v>
      </c>
      <c r="L48" s="18">
        <v>128</v>
      </c>
      <c r="M48" s="18">
        <v>128</v>
      </c>
      <c r="N48" s="18">
        <v>128</v>
      </c>
      <c r="O48" s="18">
        <v>128</v>
      </c>
      <c r="P48" s="18">
        <v>128</v>
      </c>
      <c r="Q48" s="18"/>
      <c r="R48" s="18"/>
    </row>
    <row r="49" spans="1:18">
      <c r="A49" s="3" t="s">
        <v>186</v>
      </c>
      <c r="B49" s="2" t="s">
        <v>187</v>
      </c>
      <c r="C49" s="18"/>
      <c r="D49" s="18">
        <f>D37/(D48*0.001*D40+D48*0.001*D44+D46)</f>
        <v>0.19685039370078741</v>
      </c>
      <c r="E49" s="18">
        <f>E37/(E48*0.001*E40+E48*0.001*E44+E46)</f>
        <v>0.40628385698808234</v>
      </c>
      <c r="F49" s="18">
        <f>F37/(F48*0.001*F40+F48*0.001*F44+F46)</f>
        <v>0.44776785714285722</v>
      </c>
      <c r="G49" s="24">
        <f t="shared" ref="G49:M49" si="1">G37/(0.128*G40+0.128*G44+G46)</f>
        <v>1.0840932340272791</v>
      </c>
      <c r="H49" s="24"/>
      <c r="I49" s="24">
        <f t="shared" si="1"/>
        <v>0.76837458844881779</v>
      </c>
      <c r="J49" s="24">
        <f t="shared" si="1"/>
        <v>0.93706170773867559</v>
      </c>
      <c r="K49" s="24">
        <f t="shared" si="1"/>
        <v>0.6785715113622065</v>
      </c>
      <c r="L49" s="24">
        <f t="shared" si="1"/>
        <v>0.65932720794611099</v>
      </c>
      <c r="M49" s="24">
        <f t="shared" si="1"/>
        <v>0.70540521761380326</v>
      </c>
      <c r="N49" s="18"/>
      <c r="O49" s="18"/>
      <c r="P49" s="18"/>
      <c r="Q49" s="18"/>
      <c r="R49" s="18"/>
    </row>
    <row r="50" spans="1:18">
      <c r="A50" s="3" t="s">
        <v>175</v>
      </c>
      <c r="B50" s="2" t="s">
        <v>165</v>
      </c>
      <c r="C50" s="18"/>
      <c r="D50" s="18" t="s">
        <v>192</v>
      </c>
      <c r="E50" s="18">
        <f t="shared" ref="E50:M50" si="2">((E37*0.7+(E44+E40)/1000*E48*0.5)/(E37+(E44+E40)*E48/1000)*1000)-470</f>
        <v>95.616797900262441</v>
      </c>
      <c r="F50" s="18">
        <f t="shared" si="2"/>
        <v>104.52016345399761</v>
      </c>
      <c r="G50" s="18">
        <f t="shared" si="2"/>
        <v>148.02598316466424</v>
      </c>
      <c r="H50" s="18" t="e">
        <f t="shared" si="2"/>
        <v>#DIV/0!</v>
      </c>
      <c r="I50" s="18">
        <f t="shared" si="2"/>
        <v>131.91261924844457</v>
      </c>
      <c r="J50" s="18">
        <f t="shared" si="2"/>
        <v>138.73833115136676</v>
      </c>
      <c r="K50" s="18">
        <f t="shared" si="2"/>
        <v>123.68993685073008</v>
      </c>
      <c r="L50" s="18">
        <f t="shared" si="2"/>
        <v>117.38165843144861</v>
      </c>
      <c r="M50" s="18">
        <f t="shared" si="2"/>
        <v>126.21667158714604</v>
      </c>
      <c r="N50" s="18"/>
      <c r="O50" s="18"/>
      <c r="P50" s="18"/>
      <c r="Q50" s="18"/>
      <c r="R50" s="18"/>
    </row>
    <row r="51" spans="1:18">
      <c r="A51" s="3" t="s">
        <v>204</v>
      </c>
      <c r="B51" s="2" t="s">
        <v>94</v>
      </c>
      <c r="C51" s="18"/>
      <c r="D51" s="18" t="s">
        <v>206</v>
      </c>
      <c r="E51" s="18">
        <f>(500*E43*E47+E41*E47*E43*E47/2)*0.00000001</f>
        <v>2.301952</v>
      </c>
      <c r="F51" s="18">
        <f>(500*F43*F47+F41*F47*F43*F47/2)*0.00000001</f>
        <v>1.1442857142857144</v>
      </c>
      <c r="G51" s="18">
        <f t="shared" ref="G51:J51" si="3">(500*G43*G47+G41*G47*G43*G47/2)*0.00000001</f>
        <v>0.60857142857142854</v>
      </c>
      <c r="H51" s="18">
        <f t="shared" si="3"/>
        <v>0</v>
      </c>
      <c r="I51" s="18">
        <f t="shared" si="3"/>
        <v>0.18374247619047621</v>
      </c>
      <c r="J51" s="18">
        <f t="shared" si="3"/>
        <v>0.15597460317460318</v>
      </c>
      <c r="K51" s="18">
        <f t="shared" ref="K51:L51" si="4">(1500*K43*K47+K41*K47*K43*K47/2)*0.00000001</f>
        <v>0.10621152846560847</v>
      </c>
      <c r="L51" s="18">
        <f t="shared" si="4"/>
        <v>7.938838800705468E-2</v>
      </c>
      <c r="M51" s="18">
        <f>(1500*M43*M47+M41*M47*M43*M47/2)*0.00000001</f>
        <v>2.7221621369704099E-2</v>
      </c>
      <c r="N51" s="18"/>
      <c r="O51" s="18"/>
      <c r="P51" s="18"/>
      <c r="Q51" s="18"/>
      <c r="R51" s="18"/>
    </row>
    <row r="52" spans="1:18">
      <c r="A52" s="3" t="s">
        <v>207</v>
      </c>
      <c r="B52" s="2" t="s">
        <v>94</v>
      </c>
      <c r="C52" s="18"/>
      <c r="D52" s="18" t="s">
        <v>203</v>
      </c>
      <c r="E52" s="18">
        <f>(E56+2*E59)*(E46+E44*E48*0.001+E37+E40*0.001)*0.000001+(E42*E48)*(E46+E44*E48*0.001+E37+E40*0.001)/2*0.000001</f>
        <v>3.7285652164383558</v>
      </c>
      <c r="F52" s="18">
        <f>(F56+2*F59)*(F46+F44*F48*0.001+F37+F40*0.001)*0.000001+(F42*F48)*(F46+F44*F48*0.001+F37+F40*0.001)/2*0.000001</f>
        <v>2.4862394315068492</v>
      </c>
      <c r="G52" s="18">
        <f t="shared" ref="G52:M52" si="5">(G56+2*G59)*(G46+G44*G48*0.001+G37+G40*0.001)*0.000001+(G42*G48)*(G46+G44*G48*0.001+G37+G40*0.001)/2*0.000001</f>
        <v>3.6039724834779587</v>
      </c>
      <c r="H52" s="18">
        <f t="shared" si="5"/>
        <v>0</v>
      </c>
      <c r="I52" s="18">
        <f t="shared" si="5"/>
        <v>8.2959358469351709</v>
      </c>
      <c r="J52" s="18">
        <f t="shared" si="5"/>
        <v>2.3391404437403853</v>
      </c>
      <c r="K52" s="18">
        <f t="shared" si="5"/>
        <v>2.5601760202888015</v>
      </c>
      <c r="L52" s="18">
        <f t="shared" si="5"/>
        <v>2.0373073126297219</v>
      </c>
      <c r="M52" s="18">
        <f t="shared" si="5"/>
        <v>2.224270895658556</v>
      </c>
      <c r="N52" s="18"/>
      <c r="O52" s="18"/>
      <c r="P52" s="18"/>
      <c r="Q52" s="18"/>
      <c r="R52" s="18"/>
    </row>
    <row r="53" spans="1:18">
      <c r="A53" s="3" t="s">
        <v>202</v>
      </c>
      <c r="B53" s="2" t="s">
        <v>94</v>
      </c>
      <c r="C53" s="18"/>
      <c r="D53" s="18" t="s">
        <v>119</v>
      </c>
      <c r="E53" s="18">
        <f>E51+E52+0.5</f>
        <v>6.5305172164383558</v>
      </c>
      <c r="F53" s="18">
        <f>F51+F52+0.5</f>
        <v>4.1305251457925634</v>
      </c>
      <c r="G53" s="18">
        <f t="shared" ref="G53:M53" si="6">G51+G52+0.5</f>
        <v>4.7125439120493873</v>
      </c>
      <c r="H53" s="18">
        <f t="shared" si="6"/>
        <v>0.5</v>
      </c>
      <c r="I53" s="18">
        <f t="shared" si="6"/>
        <v>8.979678323125647</v>
      </c>
      <c r="J53" s="18">
        <f t="shared" si="6"/>
        <v>2.9951150469149885</v>
      </c>
      <c r="K53" s="18">
        <f t="shared" si="6"/>
        <v>3.1663875487544102</v>
      </c>
      <c r="L53" s="18">
        <f t="shared" si="6"/>
        <v>2.6166957006367766</v>
      </c>
      <c r="M53" s="18">
        <f t="shared" si="6"/>
        <v>2.75149251702826</v>
      </c>
      <c r="N53" s="18"/>
      <c r="O53" s="18"/>
      <c r="P53" s="18"/>
      <c r="Q53" s="18"/>
      <c r="R53" s="18"/>
    </row>
    <row r="54" spans="1:18">
      <c r="A54" s="3" t="s">
        <v>193</v>
      </c>
      <c r="B54" s="2" t="s">
        <v>194</v>
      </c>
      <c r="C54" s="18"/>
      <c r="D54" s="18"/>
      <c r="E54" s="18"/>
      <c r="F54" s="18">
        <f>F8*1.1</f>
        <v>69.300000000000011</v>
      </c>
      <c r="G54" s="18">
        <f>G8*1.1</f>
        <v>25.512105738239999</v>
      </c>
      <c r="H54" s="18"/>
      <c r="I54" s="18"/>
      <c r="J54" s="18"/>
      <c r="K54" s="18"/>
      <c r="L54" s="18"/>
      <c r="M54" s="18"/>
      <c r="N54" s="18"/>
      <c r="O54" s="18"/>
      <c r="P54" s="18"/>
      <c r="Q54" s="18"/>
      <c r="R54" s="18"/>
    </row>
    <row r="55" spans="1:18">
      <c r="A55" s="3" t="s">
        <v>126</v>
      </c>
      <c r="B55" s="2" t="s">
        <v>136</v>
      </c>
      <c r="C55" s="8"/>
      <c r="D55" s="8"/>
      <c r="E55" s="8"/>
      <c r="F55" s="15">
        <f>F66*60/73</f>
        <v>54246.575342465752</v>
      </c>
      <c r="G55" s="15">
        <f>$F$55*($F$33-30)/(G$33-15)</f>
        <v>94027.397260273967</v>
      </c>
      <c r="H55" s="15"/>
      <c r="I55" s="15">
        <f>$F$55*($F58)/(I$58)*60/40</f>
        <v>148499.99999999997</v>
      </c>
      <c r="J55" s="15">
        <f>$F$55*($F58)/(J$58)*60/40</f>
        <v>49500</v>
      </c>
      <c r="K55" s="15">
        <f>$F$55*($F58)/(K$58)*60/40</f>
        <v>49500</v>
      </c>
      <c r="L55" s="15">
        <f>$F$55*($F58)/(L$58)*60/40</f>
        <v>74249.999999999985</v>
      </c>
      <c r="M55" s="15">
        <f>$F$55*($F58)/(M$58)*60/40</f>
        <v>79199.999999999985</v>
      </c>
      <c r="N55" s="8"/>
      <c r="O55" s="8"/>
      <c r="P55" s="8"/>
      <c r="Q55" s="8"/>
      <c r="R55" s="8"/>
    </row>
    <row r="56" spans="1:18">
      <c r="A56" s="3" t="s">
        <v>127</v>
      </c>
      <c r="B56" s="2" t="s">
        <v>136</v>
      </c>
      <c r="C56" s="8"/>
      <c r="D56" s="15">
        <f t="shared" ref="D56" si="7">D67*40/73</f>
        <v>38356.164383561641</v>
      </c>
      <c r="E56" s="15">
        <f>E67*40/73</f>
        <v>38356.164383561641</v>
      </c>
      <c r="F56" s="15">
        <f>F67*40/73</f>
        <v>36164.383561643837</v>
      </c>
      <c r="G56" s="15">
        <f>$F$55*(G$33-15)/($F$33-30)*60/40</f>
        <v>46944.151738672284</v>
      </c>
      <c r="H56" s="15"/>
      <c r="I56" s="15">
        <f>$F$56*($F$58)/(I$58)*60/40</f>
        <v>99000</v>
      </c>
      <c r="J56" s="15">
        <f>$F$56*($F$58)/(J$58)*60/40</f>
        <v>33000</v>
      </c>
      <c r="K56" s="15">
        <f>$F$56*($F$58)/(K$58)*60/40</f>
        <v>33000</v>
      </c>
      <c r="L56" s="15">
        <f>$F$56*($F$58)/(L$58)*60/40</f>
        <v>49500</v>
      </c>
      <c r="M56" s="15">
        <f>$F$56*($F$58)/(M$58)*60/40</f>
        <v>52800</v>
      </c>
      <c r="N56" s="8"/>
      <c r="O56" s="8"/>
      <c r="P56" s="8"/>
      <c r="Q56" s="8"/>
      <c r="R56" s="8"/>
    </row>
    <row r="57" spans="1:18">
      <c r="A57" s="3" t="s">
        <v>125</v>
      </c>
      <c r="B57" s="2" t="s">
        <v>136</v>
      </c>
      <c r="C57" s="8"/>
      <c r="D57" s="8"/>
      <c r="E57" s="8"/>
      <c r="F57" s="15">
        <f>F68*20/73</f>
        <v>18082.191780821919</v>
      </c>
      <c r="G57" s="15">
        <f>$F$55*(G$33-15)/($F$33-30)*60/20</f>
        <v>93888.303477344569</v>
      </c>
      <c r="H57" s="15"/>
      <c r="I57" s="15">
        <f>$F$57*($F$58)/(I$58)*60/40</f>
        <v>49500</v>
      </c>
      <c r="J57" s="15">
        <f>$F$57*($F$58)/(J$58)*60/40</f>
        <v>16500</v>
      </c>
      <c r="K57" s="15">
        <f>$F$57*($F$58)/(K$58)*60/40</f>
        <v>16500</v>
      </c>
      <c r="L57" s="15">
        <f>$F$57*($F$58)/(L$58)*60/40</f>
        <v>24750</v>
      </c>
      <c r="M57" s="15">
        <f>$F$57*($F$58)/(M$58)*60/40</f>
        <v>26400</v>
      </c>
      <c r="N57" s="8"/>
      <c r="O57" s="8"/>
      <c r="P57" s="8"/>
      <c r="Q57" s="8"/>
      <c r="R57" s="8"/>
    </row>
    <row r="58" spans="1:18">
      <c r="A58" s="3" t="s">
        <v>139</v>
      </c>
      <c r="B58" s="2" t="s">
        <v>140</v>
      </c>
      <c r="C58" s="8"/>
      <c r="D58" s="8"/>
      <c r="E58" s="8"/>
      <c r="F58" s="15">
        <v>7.2999999999999995E-2</v>
      </c>
      <c r="G58" s="5">
        <v>4.4999999999999998E-2</v>
      </c>
      <c r="H58" s="5"/>
      <c r="I58" s="5">
        <v>0.04</v>
      </c>
      <c r="J58" s="5">
        <f>0.12</f>
        <v>0.12</v>
      </c>
      <c r="K58" s="5">
        <v>0.12</v>
      </c>
      <c r="L58" s="5">
        <v>0.08</v>
      </c>
      <c r="M58" s="5">
        <v>7.4999999999999997E-2</v>
      </c>
      <c r="N58" s="8"/>
      <c r="O58" s="8"/>
      <c r="P58" s="8"/>
      <c r="Q58" s="8"/>
      <c r="R58" s="8"/>
    </row>
    <row r="59" spans="1:18">
      <c r="A59" s="3" t="s">
        <v>128</v>
      </c>
      <c r="B59" s="2" t="s">
        <v>136</v>
      </c>
      <c r="C59" s="8"/>
      <c r="D59" s="15">
        <v>20000</v>
      </c>
      <c r="E59" s="15">
        <v>20000</v>
      </c>
      <c r="F59" s="15">
        <v>20000</v>
      </c>
      <c r="G59" s="15">
        <f>$F59*$F39/G39</f>
        <v>32352.941176470587</v>
      </c>
      <c r="H59" s="15"/>
      <c r="I59" s="15">
        <f>$F59*$F39*$F38/I39/I38</f>
        <v>76476.190476190473</v>
      </c>
      <c r="J59" s="15">
        <f>$F59*$F39*$F38/J39/J38</f>
        <v>19681.372549019605</v>
      </c>
      <c r="K59" s="15">
        <f>$F59*$F39*$F38/K39/K38</f>
        <v>22305.555555555555</v>
      </c>
      <c r="L59" s="15">
        <f>$F59*$F39*$F38/L39/L38</f>
        <v>6691.666666666667</v>
      </c>
      <c r="M59" s="15">
        <f>$F59*$F39*$F38/M39/M38</f>
        <v>11896.296296296297</v>
      </c>
      <c r="N59" s="8"/>
      <c r="O59" s="8"/>
      <c r="P59" s="8"/>
      <c r="Q59" s="8"/>
      <c r="R59" s="8"/>
    </row>
    <row r="60" spans="1:18">
      <c r="A60" s="3" t="s">
        <v>129</v>
      </c>
      <c r="B60" s="2" t="s">
        <v>136</v>
      </c>
      <c r="F60" s="15">
        <f>F59*27.5/20</f>
        <v>27500</v>
      </c>
      <c r="G60" s="15" t="s">
        <v>178</v>
      </c>
      <c r="H60" s="15"/>
      <c r="I60" s="15"/>
      <c r="J60" s="15" t="s">
        <v>178</v>
      </c>
      <c r="K60" s="15"/>
      <c r="L60" s="15" t="s">
        <v>178</v>
      </c>
      <c r="M60" s="15"/>
    </row>
    <row r="61" spans="1:18">
      <c r="A61" s="3" t="s">
        <v>130</v>
      </c>
      <c r="B61" s="2" t="s">
        <v>136</v>
      </c>
      <c r="F61" s="18">
        <f>F59*27.5/15</f>
        <v>36666.666666666664</v>
      </c>
      <c r="G61" s="18" t="s">
        <v>178</v>
      </c>
      <c r="H61" s="18"/>
      <c r="I61" s="18"/>
      <c r="J61" s="18" t="s">
        <v>178</v>
      </c>
      <c r="K61" s="18"/>
      <c r="L61" s="18" t="s">
        <v>178</v>
      </c>
      <c r="M61" s="18"/>
    </row>
    <row r="62" spans="1:18">
      <c r="A62" s="3" t="s">
        <v>182</v>
      </c>
      <c r="B62" s="2" t="s">
        <v>183</v>
      </c>
      <c r="D62" s="24">
        <f>0.5/(2*D59+D56)</f>
        <v>6.381118881118881E-6</v>
      </c>
      <c r="E62" s="24">
        <f t="shared" ref="E62:M62" si="8">0.5/(2*E59+E56)</f>
        <v>6.381118881118881E-6</v>
      </c>
      <c r="F62" s="24">
        <f t="shared" si="8"/>
        <v>6.5647482014388493E-6</v>
      </c>
      <c r="G62" s="24">
        <f t="shared" si="8"/>
        <v>4.4782789729354618E-6</v>
      </c>
      <c r="H62" s="24"/>
      <c r="I62" s="24">
        <f t="shared" si="8"/>
        <v>1.9845019845019846E-6</v>
      </c>
      <c r="J62" s="24">
        <f t="shared" si="8"/>
        <v>6.9096328410784445E-6</v>
      </c>
      <c r="K62" s="24">
        <f t="shared" si="8"/>
        <v>6.442376521116679E-6</v>
      </c>
      <c r="L62" s="24">
        <f t="shared" si="8"/>
        <v>7.9512324410283583E-6</v>
      </c>
      <c r="M62" s="24">
        <f t="shared" si="8"/>
        <v>6.5280464216634425E-6</v>
      </c>
    </row>
    <row r="63" spans="1:18">
      <c r="A63" s="3" t="s">
        <v>132</v>
      </c>
      <c r="B63" s="2" t="s">
        <v>133</v>
      </c>
      <c r="F63" s="18">
        <v>79</v>
      </c>
      <c r="G63" s="23">
        <v>79</v>
      </c>
      <c r="H63" s="23"/>
      <c r="I63" s="23">
        <v>79</v>
      </c>
      <c r="J63" s="23">
        <v>67</v>
      </c>
      <c r="K63" s="23">
        <v>67</v>
      </c>
      <c r="L63" s="23">
        <v>72</v>
      </c>
      <c r="M63" s="23">
        <v>72</v>
      </c>
    </row>
    <row r="64" spans="1:18">
      <c r="A64" s="3" t="s">
        <v>131</v>
      </c>
      <c r="B64" s="2" t="s">
        <v>133</v>
      </c>
      <c r="D64" s="2">
        <v>90</v>
      </c>
      <c r="E64" s="2">
        <v>90</v>
      </c>
      <c r="F64" s="18">
        <v>85</v>
      </c>
      <c r="G64" s="23">
        <v>85</v>
      </c>
      <c r="H64" s="23"/>
      <c r="I64" s="23">
        <v>85</v>
      </c>
      <c r="J64" s="23">
        <v>73</v>
      </c>
      <c r="K64" s="23">
        <v>73</v>
      </c>
      <c r="L64" s="23">
        <v>83</v>
      </c>
      <c r="M64" s="23">
        <v>83</v>
      </c>
    </row>
    <row r="65" spans="1:13">
      <c r="A65" s="3" t="s">
        <v>147</v>
      </c>
      <c r="B65" s="2" t="s">
        <v>133</v>
      </c>
      <c r="F65" s="18">
        <v>97</v>
      </c>
      <c r="G65" s="23">
        <v>97</v>
      </c>
      <c r="H65" s="23"/>
      <c r="I65" s="23">
        <v>97</v>
      </c>
      <c r="J65" s="23">
        <v>78</v>
      </c>
      <c r="K65" s="23">
        <v>78</v>
      </c>
      <c r="L65" s="23">
        <v>97</v>
      </c>
      <c r="M65" s="23">
        <v>97</v>
      </c>
    </row>
    <row r="66" spans="1:13">
      <c r="A66" s="3" t="s">
        <v>134</v>
      </c>
      <c r="B66" s="2" t="s">
        <v>141</v>
      </c>
      <c r="F66" s="15">
        <v>66000</v>
      </c>
      <c r="G66" s="7">
        <v>66000</v>
      </c>
      <c r="H66" s="7"/>
      <c r="I66" s="7">
        <v>66000</v>
      </c>
      <c r="J66" s="7">
        <v>66000</v>
      </c>
      <c r="K66" s="7">
        <v>66000</v>
      </c>
      <c r="L66" s="7">
        <v>66000</v>
      </c>
      <c r="M66" s="7">
        <v>66000</v>
      </c>
    </row>
    <row r="67" spans="1:13">
      <c r="A67" s="3" t="s">
        <v>135</v>
      </c>
      <c r="B67" s="2" t="s">
        <v>141</v>
      </c>
      <c r="D67" s="22">
        <v>70000</v>
      </c>
      <c r="E67" s="22">
        <v>70000</v>
      </c>
      <c r="F67" s="15">
        <v>66000</v>
      </c>
      <c r="G67" s="7">
        <v>66000</v>
      </c>
      <c r="H67" s="7"/>
      <c r="I67" s="7">
        <v>66000</v>
      </c>
      <c r="J67" s="7">
        <v>66000</v>
      </c>
      <c r="K67" s="7">
        <v>66000</v>
      </c>
      <c r="L67" s="7">
        <v>66000</v>
      </c>
      <c r="M67" s="7">
        <v>66000</v>
      </c>
    </row>
    <row r="68" spans="1:13">
      <c r="A68" s="3" t="s">
        <v>138</v>
      </c>
      <c r="B68" s="2" t="s">
        <v>141</v>
      </c>
      <c r="F68" s="15">
        <v>66000</v>
      </c>
      <c r="G68" s="7">
        <v>66000</v>
      </c>
      <c r="H68" s="7"/>
      <c r="I68" s="7">
        <v>66000</v>
      </c>
      <c r="J68" s="7">
        <v>66000</v>
      </c>
      <c r="K68" s="7">
        <v>66000</v>
      </c>
      <c r="L68" s="7">
        <v>66000</v>
      </c>
      <c r="M68" s="7">
        <v>66000</v>
      </c>
    </row>
    <row r="69" spans="1:13">
      <c r="A69" s="3" t="s">
        <v>142</v>
      </c>
      <c r="B69" s="21" t="s">
        <v>143</v>
      </c>
      <c r="F69" s="22">
        <f t="shared" ref="F69:M69" si="9">1/(F71*F66*35*1.6E-19)</f>
        <v>5.4112554112554117E+18</v>
      </c>
      <c r="G69" s="22">
        <f t="shared" si="9"/>
        <v>5.4112554112554117E+18</v>
      </c>
      <c r="H69" s="22"/>
      <c r="I69" s="22">
        <f t="shared" si="9"/>
        <v>5.4112554112554117E+18</v>
      </c>
      <c r="J69" s="22">
        <f t="shared" si="9"/>
        <v>2.7056277056277059E+18</v>
      </c>
      <c r="K69" s="22">
        <f t="shared" si="9"/>
        <v>2.7056277056277059E+18</v>
      </c>
      <c r="L69" s="22">
        <f t="shared" si="9"/>
        <v>2.7056277056277059E+18</v>
      </c>
      <c r="M69" s="22">
        <f t="shared" si="9"/>
        <v>2.7056277056277059E+18</v>
      </c>
    </row>
    <row r="70" spans="1:13">
      <c r="A70" s="3" t="s">
        <v>137</v>
      </c>
      <c r="B70" s="21" t="s">
        <v>144</v>
      </c>
      <c r="F70" s="22">
        <f t="shared" ref="F70:M70" si="10">F69*F71</f>
        <v>2705627705627.7056</v>
      </c>
      <c r="G70" s="22">
        <f t="shared" si="10"/>
        <v>2705627705627.7056</v>
      </c>
      <c r="H70" s="22"/>
      <c r="I70" s="22">
        <f t="shared" si="10"/>
        <v>2705627705627.7056</v>
      </c>
      <c r="J70" s="22">
        <f t="shared" si="10"/>
        <v>2705627705627.7056</v>
      </c>
      <c r="K70" s="22">
        <f t="shared" si="10"/>
        <v>2705627705627.7056</v>
      </c>
      <c r="L70" s="22">
        <f t="shared" si="10"/>
        <v>2705627705627.7056</v>
      </c>
      <c r="M70" s="22">
        <f t="shared" si="10"/>
        <v>2705627705627.7056</v>
      </c>
    </row>
    <row r="71" spans="1:13">
      <c r="A71" s="3" t="s">
        <v>145</v>
      </c>
      <c r="B71" s="2" t="s">
        <v>146</v>
      </c>
      <c r="F71" s="22">
        <v>4.9999999999999998E-7</v>
      </c>
      <c r="G71" s="22">
        <v>4.9999999999999998E-7</v>
      </c>
      <c r="H71" s="22"/>
      <c r="I71" s="22">
        <v>4.9999999999999998E-7</v>
      </c>
      <c r="J71" s="22">
        <v>9.9999999999999995E-7</v>
      </c>
      <c r="K71" s="22">
        <v>9.9999999999999995E-7</v>
      </c>
      <c r="L71" s="22">
        <v>9.9999999999999995E-7</v>
      </c>
      <c r="M71" s="22">
        <v>9.9999999999999995E-7</v>
      </c>
    </row>
    <row r="72" spans="1:13">
      <c r="A72" s="3" t="s">
        <v>148</v>
      </c>
      <c r="B72" s="2" t="s">
        <v>149</v>
      </c>
      <c r="D72" s="22">
        <v>1E-13</v>
      </c>
      <c r="E72" s="22">
        <v>1E-13</v>
      </c>
      <c r="F72" s="22">
        <f>0.000001*10^-((F73-F74)/F64/0.001)</f>
        <v>3.8746751204561249E-16</v>
      </c>
      <c r="G72" s="2">
        <f>0.000001*10^-((G73-G74)/G64/0.001)</f>
        <v>3.8746751204561249E-16</v>
      </c>
      <c r="I72" s="2">
        <f>0.000001*10^-((I73-I74)/I64/0.001)</f>
        <v>4.4366873309786062E-9</v>
      </c>
      <c r="J72" s="2">
        <f t="shared" ref="J72" si="11">0.000001*10^-((J73-J74)/J64/0.001)</f>
        <v>8.5409631737704072E-22</v>
      </c>
      <c r="K72" s="2">
        <f>0.000001*10^-((K73-K74)/K64/0.001)</f>
        <v>2.5760773795493872E-16</v>
      </c>
      <c r="L72" s="2">
        <f t="shared" ref="L72" si="12">0.000001*10^-((L73-L74)/L64/0.001)</f>
        <v>3.5827529929086263E-18</v>
      </c>
      <c r="M72" s="2">
        <f t="shared" ref="M72" si="13">0.000001*10^-((M73-M74)/M64/0.001)</f>
        <v>4.8612391624802121E-15</v>
      </c>
    </row>
    <row r="73" spans="1:13">
      <c r="A73" s="3" t="s">
        <v>150</v>
      </c>
      <c r="B73" s="2" t="s">
        <v>151</v>
      </c>
      <c r="F73" s="22">
        <v>0</v>
      </c>
      <c r="G73" s="2">
        <v>0</v>
      </c>
      <c r="I73" s="2">
        <v>-0.6</v>
      </c>
      <c r="J73" s="2">
        <v>0.3</v>
      </c>
      <c r="K73" s="2">
        <v>-0.1</v>
      </c>
      <c r="L73" s="2">
        <v>0.15</v>
      </c>
      <c r="M73" s="2">
        <v>-0.11</v>
      </c>
    </row>
    <row r="74" spans="1:13">
      <c r="A74" s="3" t="s">
        <v>188</v>
      </c>
      <c r="B74" s="2" t="s">
        <v>151</v>
      </c>
      <c r="D74" s="2">
        <v>-0.4</v>
      </c>
      <c r="F74" s="15">
        <v>-0.8</v>
      </c>
      <c r="G74" s="2">
        <v>-0.8</v>
      </c>
      <c r="I74" s="2">
        <v>-0.8</v>
      </c>
      <c r="J74" s="2">
        <v>-0.8</v>
      </c>
      <c r="K74" s="2">
        <v>-0.8</v>
      </c>
      <c r="L74" s="2">
        <v>-0.8</v>
      </c>
      <c r="M74" s="2">
        <v>-0.8</v>
      </c>
    </row>
    <row r="75" spans="1:13">
      <c r="A75" s="3" t="s">
        <v>196</v>
      </c>
      <c r="B75" s="2" t="s">
        <v>197</v>
      </c>
      <c r="D75" s="2" t="s">
        <v>198</v>
      </c>
    </row>
    <row r="76" spans="1:13">
      <c r="A76" s="3" t="s">
        <v>152</v>
      </c>
      <c r="B76" s="2" t="s">
        <v>151</v>
      </c>
      <c r="F76" s="15" t="s">
        <v>153</v>
      </c>
      <c r="G76" s="2" t="s">
        <v>153</v>
      </c>
      <c r="I76" s="2" t="s">
        <v>184</v>
      </c>
      <c r="J76" s="2" t="s">
        <v>153</v>
      </c>
      <c r="K76" s="2" t="s">
        <v>184</v>
      </c>
      <c r="L76" s="2" t="s">
        <v>153</v>
      </c>
      <c r="M76" s="2" t="s">
        <v>184</v>
      </c>
    </row>
    <row r="77" spans="1:13">
      <c r="A77" s="3" t="s">
        <v>166</v>
      </c>
      <c r="B77" s="2" t="s">
        <v>165</v>
      </c>
      <c r="F77" s="15" t="s">
        <v>167</v>
      </c>
      <c r="G77" s="2" t="s">
        <v>167</v>
      </c>
      <c r="J77" s="2" t="s">
        <v>167</v>
      </c>
    </row>
    <row r="78" spans="1:13">
      <c r="A78" s="3" t="s">
        <v>154</v>
      </c>
      <c r="B78" s="2" t="s">
        <v>155</v>
      </c>
      <c r="F78" s="15">
        <v>1.7</v>
      </c>
    </row>
    <row r="79" spans="1:13">
      <c r="A79" s="3" t="s">
        <v>156</v>
      </c>
      <c r="B79" s="2" t="s">
        <v>155</v>
      </c>
      <c r="F79" s="15">
        <v>0.5</v>
      </c>
    </row>
    <row r="80" spans="1:13">
      <c r="A80" s="3" t="s">
        <v>157</v>
      </c>
      <c r="B80" s="2" t="s">
        <v>155</v>
      </c>
      <c r="F80" s="15">
        <v>1.2</v>
      </c>
    </row>
    <row r="81" spans="1:6">
      <c r="A81" s="3" t="s">
        <v>158</v>
      </c>
      <c r="B81" s="2" t="s">
        <v>155</v>
      </c>
      <c r="F81" s="15">
        <v>1</v>
      </c>
    </row>
    <row r="82" spans="1:6">
      <c r="A82" s="3" t="s">
        <v>159</v>
      </c>
      <c r="B82" s="2" t="s">
        <v>155</v>
      </c>
      <c r="F82" s="15">
        <v>0.5</v>
      </c>
    </row>
    <row r="83" spans="1:6">
      <c r="A83" s="3" t="s">
        <v>160</v>
      </c>
      <c r="B83" s="2" t="s">
        <v>155</v>
      </c>
      <c r="F83" s="15">
        <v>0.45</v>
      </c>
    </row>
    <row r="84" spans="1:6">
      <c r="A84" s="3" t="s">
        <v>161</v>
      </c>
      <c r="B84" s="2" t="s">
        <v>155</v>
      </c>
      <c r="F84" s="15">
        <f>F80-F83</f>
        <v>0.75</v>
      </c>
    </row>
    <row r="85" spans="1:6">
      <c r="A85" s="3" t="s">
        <v>162</v>
      </c>
      <c r="B85" s="2" t="s">
        <v>155</v>
      </c>
      <c r="F85" s="15" t="s">
        <v>163</v>
      </c>
    </row>
    <row r="86" spans="1:6">
      <c r="A86" s="3" t="s">
        <v>154</v>
      </c>
      <c r="B86" s="2" t="s">
        <v>164</v>
      </c>
      <c r="F86" s="15">
        <v>1.7</v>
      </c>
    </row>
    <row r="87" spans="1:6">
      <c r="A87" s="3" t="s">
        <v>156</v>
      </c>
      <c r="B87" s="2" t="s">
        <v>164</v>
      </c>
      <c r="F87" s="15">
        <v>0</v>
      </c>
    </row>
    <row r="88" spans="1:6">
      <c r="A88" s="3" t="s">
        <v>157</v>
      </c>
      <c r="B88" s="2" t="s">
        <v>164</v>
      </c>
      <c r="F88" s="15">
        <f>F86-F87</f>
        <v>1.7</v>
      </c>
    </row>
    <row r="89" spans="1:6">
      <c r="A89" s="3" t="s">
        <v>158</v>
      </c>
      <c r="B89" s="2" t="s">
        <v>164</v>
      </c>
      <c r="F89" s="15">
        <v>0.5</v>
      </c>
    </row>
    <row r="90" spans="1:6">
      <c r="A90" s="3" t="s">
        <v>159</v>
      </c>
      <c r="B90" s="2" t="s">
        <v>164</v>
      </c>
      <c r="F90" s="15">
        <f>F89-F87</f>
        <v>0.5</v>
      </c>
    </row>
    <row r="91" spans="1:6">
      <c r="A91" s="3" t="s">
        <v>160</v>
      </c>
      <c r="B91" s="2" t="s">
        <v>164</v>
      </c>
      <c r="F91" s="15">
        <v>0.45</v>
      </c>
    </row>
    <row r="92" spans="1:6">
      <c r="A92" s="3" t="s">
        <v>161</v>
      </c>
      <c r="B92" s="2" t="s">
        <v>164</v>
      </c>
      <c r="F92" s="15">
        <f>F88-F91</f>
        <v>1.25</v>
      </c>
    </row>
    <row r="93" spans="1:6">
      <c r="A93" s="3" t="s">
        <v>162</v>
      </c>
      <c r="B93" s="2" t="s">
        <v>164</v>
      </c>
      <c r="F93" s="15" t="s">
        <v>163</v>
      </c>
    </row>
  </sheetData>
  <hyperlinks>
    <hyperlink ref="W2"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workbookViewId="0">
      <selection activeCell="A22" sqref="A22"/>
    </sheetView>
  </sheetViews>
  <sheetFormatPr baseColWidth="10" defaultColWidth="8.83203125" defaultRowHeight="16"/>
  <cols>
    <col min="1" max="1" width="20.83203125" bestFit="1" customWidth="1"/>
  </cols>
  <sheetData>
    <row r="1" spans="1:4">
      <c r="A1" t="s">
        <v>98</v>
      </c>
      <c r="B1" t="s">
        <v>99</v>
      </c>
      <c r="C1" t="s">
        <v>100</v>
      </c>
      <c r="D1" t="s">
        <v>101</v>
      </c>
    </row>
    <row r="2" spans="1:4">
      <c r="A2" t="s">
        <v>102</v>
      </c>
      <c r="B2">
        <v>21</v>
      </c>
      <c r="C2">
        <v>60</v>
      </c>
      <c r="D2" t="s">
        <v>103</v>
      </c>
    </row>
    <row r="3" spans="1:4">
      <c r="A3" t="s">
        <v>104</v>
      </c>
      <c r="B3" s="17">
        <v>43529</v>
      </c>
      <c r="C3">
        <v>1.2</v>
      </c>
      <c r="D3">
        <v>1.5</v>
      </c>
    </row>
    <row r="4" spans="1:4">
      <c r="A4" t="s">
        <v>105</v>
      </c>
      <c r="B4" t="s">
        <v>106</v>
      </c>
      <c r="C4" t="s">
        <v>107</v>
      </c>
      <c r="D4" t="s">
        <v>108</v>
      </c>
    </row>
    <row r="5" spans="1:4">
      <c r="A5" t="s">
        <v>109</v>
      </c>
      <c r="B5" t="s">
        <v>110</v>
      </c>
      <c r="C5" t="s">
        <v>111</v>
      </c>
      <c r="D5" t="s">
        <v>112</v>
      </c>
    </row>
    <row r="6" spans="1:4">
      <c r="A6" t="s">
        <v>102</v>
      </c>
      <c r="B6">
        <v>21</v>
      </c>
      <c r="C6">
        <v>60</v>
      </c>
      <c r="D6" t="s">
        <v>103</v>
      </c>
    </row>
    <row r="7" spans="1:4">
      <c r="A7" t="s">
        <v>104</v>
      </c>
      <c r="B7" s="17">
        <v>43529</v>
      </c>
      <c r="C7">
        <v>1.2</v>
      </c>
      <c r="D7">
        <v>1.5</v>
      </c>
    </row>
    <row r="8" spans="1:4">
      <c r="A8" t="s">
        <v>105</v>
      </c>
      <c r="B8" t="s">
        <v>106</v>
      </c>
      <c r="C8" t="s">
        <v>107</v>
      </c>
      <c r="D8" t="s">
        <v>108</v>
      </c>
    </row>
    <row r="9" spans="1:4">
      <c r="A9" t="s">
        <v>113</v>
      </c>
      <c r="B9">
        <v>19</v>
      </c>
      <c r="C9">
        <v>21</v>
      </c>
      <c r="D9">
        <v>16</v>
      </c>
    </row>
    <row r="10" spans="1:4">
      <c r="A10" t="s">
        <v>114</v>
      </c>
      <c r="B10" s="17">
        <v>43785</v>
      </c>
      <c r="C10" t="s">
        <v>115</v>
      </c>
      <c r="D10">
        <v>7</v>
      </c>
    </row>
    <row r="11" spans="1:4">
      <c r="A11" t="s">
        <v>116</v>
      </c>
      <c r="B11">
        <v>3</v>
      </c>
      <c r="C11">
        <v>1.1000000000000001</v>
      </c>
      <c r="D11">
        <v>1.3</v>
      </c>
    </row>
    <row r="12" spans="1:4">
      <c r="A12" t="s">
        <v>117</v>
      </c>
      <c r="B12" t="s">
        <v>118</v>
      </c>
      <c r="C12">
        <v>17</v>
      </c>
      <c r="D12" t="s">
        <v>119</v>
      </c>
    </row>
    <row r="13" spans="1:4">
      <c r="A13" t="s">
        <v>120</v>
      </c>
      <c r="B13" t="s">
        <v>121</v>
      </c>
      <c r="C13" t="s">
        <v>122</v>
      </c>
      <c r="D13" t="s">
        <v>122</v>
      </c>
    </row>
    <row r="21" spans="1:1">
      <c r="A21" t="s">
        <v>195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C8B0-3A5D-9C43-A076-B9DBC2A56C72}">
  <dimension ref="A1:Z22"/>
  <sheetViews>
    <sheetView workbookViewId="0">
      <selection activeCell="J18" sqref="J18"/>
    </sheetView>
  </sheetViews>
  <sheetFormatPr baseColWidth="10" defaultRowHeight="16"/>
  <cols>
    <col min="1" max="1" width="12.1640625" bestFit="1" customWidth="1"/>
    <col min="2" max="2" width="8.33203125" bestFit="1" customWidth="1"/>
    <col min="11" max="11" width="12.1640625" bestFit="1" customWidth="1"/>
    <col min="12" max="12" width="8.33203125" bestFit="1" customWidth="1"/>
    <col min="21" max="21" width="12.1640625" bestFit="1" customWidth="1"/>
    <col min="22" max="22" width="8.33203125" bestFit="1" customWidth="1"/>
  </cols>
  <sheetData>
    <row r="1" spans="1:26">
      <c r="A1" s="31" t="s">
        <v>224</v>
      </c>
      <c r="B1" s="31"/>
      <c r="C1" s="32" t="s">
        <v>213</v>
      </c>
      <c r="D1" s="32" t="s">
        <v>214</v>
      </c>
      <c r="E1" s="32" t="s">
        <v>215</v>
      </c>
      <c r="F1" s="32" t="s">
        <v>216</v>
      </c>
      <c r="G1" s="32" t="s">
        <v>217</v>
      </c>
      <c r="H1" s="32" t="s">
        <v>218</v>
      </c>
      <c r="K1" s="31" t="s">
        <v>225</v>
      </c>
      <c r="L1" s="31"/>
      <c r="M1" s="32" t="s">
        <v>213</v>
      </c>
      <c r="N1" s="32" t="s">
        <v>214</v>
      </c>
      <c r="O1" s="32" t="s">
        <v>215</v>
      </c>
      <c r="P1" s="32" t="s">
        <v>216</v>
      </c>
      <c r="Q1" s="32" t="s">
        <v>217</v>
      </c>
      <c r="R1" s="32" t="s">
        <v>218</v>
      </c>
      <c r="U1" s="31" t="s">
        <v>226</v>
      </c>
      <c r="V1" s="31"/>
      <c r="W1" s="32" t="s">
        <v>227</v>
      </c>
      <c r="X1" s="32" t="s">
        <v>228</v>
      </c>
      <c r="Y1" s="32" t="s">
        <v>229</v>
      </c>
      <c r="Z1" s="32" t="s">
        <v>230</v>
      </c>
    </row>
    <row r="2" spans="1:26">
      <c r="A2" s="31" t="s">
        <v>221</v>
      </c>
      <c r="B2" s="31" t="s">
        <v>20</v>
      </c>
      <c r="C2" s="32">
        <f>MIN(C4:C6)/2</f>
        <v>30</v>
      </c>
      <c r="D2" s="32">
        <f>MIN(D4:D6)/2</f>
        <v>26</v>
      </c>
      <c r="E2" s="32">
        <f>MIN(E4:E6)/2</f>
        <v>20</v>
      </c>
      <c r="F2" s="32">
        <f>MIN(F4:F6)/2</f>
        <v>18.5</v>
      </c>
      <c r="G2" s="32">
        <f>MIN(G4:G6)/2</f>
        <v>16.2</v>
      </c>
      <c r="H2" s="32"/>
      <c r="K2" s="31" t="s">
        <v>221</v>
      </c>
      <c r="L2" s="31" t="s">
        <v>20</v>
      </c>
      <c r="M2" s="32">
        <f>MIN(M4:M6)/2</f>
        <v>30.5</v>
      </c>
      <c r="N2" s="32">
        <f>MIN(N4:N6)/2</f>
        <v>30.5</v>
      </c>
      <c r="O2" s="32">
        <f>MIN(O4:O6)/2</f>
        <v>23</v>
      </c>
      <c r="P2" s="32">
        <f>MIN(P4:P6)/2</f>
        <v>18.5</v>
      </c>
      <c r="Q2" s="32">
        <f>MIN(Q4:Q6)/2</f>
        <v>16.2</v>
      </c>
      <c r="R2" s="32"/>
      <c r="U2" s="31" t="s">
        <v>221</v>
      </c>
      <c r="V2" s="31" t="s">
        <v>20</v>
      </c>
      <c r="W2" s="32">
        <f>MIN(W4:W6)/2</f>
        <v>54</v>
      </c>
      <c r="X2" s="32">
        <f>MIN(X4:X6)/2</f>
        <v>30</v>
      </c>
      <c r="Y2" s="32">
        <f>MIN(Y4:Y6)/2</f>
        <v>25</v>
      </c>
      <c r="Z2" s="32">
        <f>MIN(Z4:Z6)/2</f>
        <v>30.5</v>
      </c>
    </row>
    <row r="3" spans="1:26" ht="19">
      <c r="A3" s="31" t="s">
        <v>4</v>
      </c>
      <c r="B3" s="31" t="s">
        <v>82</v>
      </c>
      <c r="C3" s="32"/>
      <c r="D3" s="32"/>
      <c r="E3" s="32"/>
      <c r="F3" s="32">
        <v>0.189</v>
      </c>
      <c r="G3" s="32">
        <v>0.24099999999999999</v>
      </c>
      <c r="H3" s="32">
        <v>0.3</v>
      </c>
      <c r="K3" s="31" t="s">
        <v>4</v>
      </c>
      <c r="L3" s="31" t="s">
        <v>82</v>
      </c>
      <c r="M3" s="32"/>
      <c r="N3" s="32"/>
      <c r="O3" s="32"/>
      <c r="P3" s="32">
        <v>0.189</v>
      </c>
      <c r="Q3" s="32">
        <v>0.24099999999999999</v>
      </c>
      <c r="R3" s="32">
        <v>0.3</v>
      </c>
      <c r="U3" s="31" t="s">
        <v>4</v>
      </c>
      <c r="V3" s="31" t="s">
        <v>82</v>
      </c>
      <c r="W3" s="32"/>
      <c r="X3" s="32"/>
      <c r="Y3" s="32"/>
      <c r="Z3" s="32"/>
    </row>
    <row r="4" spans="1:26">
      <c r="A4" s="31" t="s">
        <v>220</v>
      </c>
      <c r="B4" s="31" t="s">
        <v>20</v>
      </c>
      <c r="C4" s="32">
        <v>60</v>
      </c>
      <c r="D4" s="32">
        <v>52</v>
      </c>
      <c r="E4" s="32">
        <v>40</v>
      </c>
      <c r="F4" s="32">
        <v>37</v>
      </c>
      <c r="G4" s="32">
        <v>32.4</v>
      </c>
      <c r="H4" s="32"/>
      <c r="K4" s="31" t="s">
        <v>220</v>
      </c>
      <c r="L4" s="31" t="s">
        <v>20</v>
      </c>
      <c r="M4" s="32">
        <v>80</v>
      </c>
      <c r="N4" s="32">
        <v>72</v>
      </c>
      <c r="O4" s="32">
        <v>63</v>
      </c>
      <c r="P4" s="32">
        <v>37</v>
      </c>
      <c r="Q4" s="32">
        <v>32.4</v>
      </c>
      <c r="R4" s="32"/>
      <c r="U4" s="31" t="s">
        <v>220</v>
      </c>
      <c r="V4" s="31" t="s">
        <v>20</v>
      </c>
      <c r="W4" s="32">
        <v>108</v>
      </c>
      <c r="X4" s="32">
        <v>60</v>
      </c>
      <c r="Y4" s="32">
        <v>50</v>
      </c>
      <c r="Z4" s="32">
        <v>72</v>
      </c>
    </row>
    <row r="5" spans="1:26">
      <c r="A5" s="31" t="s">
        <v>219</v>
      </c>
      <c r="B5" s="31" t="s">
        <v>20</v>
      </c>
      <c r="C5" s="32">
        <v>92</v>
      </c>
      <c r="D5" s="32">
        <v>66</v>
      </c>
      <c r="E5" s="32">
        <v>54</v>
      </c>
      <c r="F5" s="32">
        <v>48</v>
      </c>
      <c r="G5" s="32">
        <v>46</v>
      </c>
      <c r="H5" s="32"/>
      <c r="K5" s="31" t="s">
        <v>219</v>
      </c>
      <c r="L5" s="31" t="s">
        <v>20</v>
      </c>
      <c r="M5" s="32">
        <v>61</v>
      </c>
      <c r="N5" s="32">
        <v>61</v>
      </c>
      <c r="O5" s="32">
        <v>46</v>
      </c>
      <c r="P5" s="32">
        <v>48</v>
      </c>
      <c r="Q5" s="32">
        <v>46</v>
      </c>
      <c r="R5" s="32"/>
      <c r="U5" s="31" t="s">
        <v>219</v>
      </c>
      <c r="V5" s="31" t="s">
        <v>20</v>
      </c>
      <c r="W5" s="32">
        <v>108</v>
      </c>
      <c r="X5" s="32">
        <v>60</v>
      </c>
      <c r="Y5" s="32">
        <v>50</v>
      </c>
      <c r="Z5" s="32">
        <v>61</v>
      </c>
    </row>
    <row r="6" spans="1:26">
      <c r="A6" s="31" t="s">
        <v>26</v>
      </c>
      <c r="B6" s="31" t="s">
        <v>20</v>
      </c>
      <c r="C6" s="32">
        <v>92</v>
      </c>
      <c r="D6" s="32">
        <v>76</v>
      </c>
      <c r="E6" s="32">
        <v>62</v>
      </c>
      <c r="F6" s="32">
        <v>54</v>
      </c>
      <c r="G6" s="32">
        <v>52</v>
      </c>
      <c r="H6" s="32"/>
      <c r="K6" s="31" t="s">
        <v>26</v>
      </c>
      <c r="L6" s="31" t="s">
        <v>20</v>
      </c>
      <c r="M6" s="32">
        <v>90</v>
      </c>
      <c r="N6" s="32">
        <v>80</v>
      </c>
      <c r="O6" s="32">
        <v>70</v>
      </c>
      <c r="P6" s="32">
        <v>54</v>
      </c>
      <c r="Q6" s="32">
        <v>52</v>
      </c>
      <c r="R6" s="32"/>
      <c r="U6" s="31" t="s">
        <v>26</v>
      </c>
      <c r="V6" s="31" t="s">
        <v>20</v>
      </c>
      <c r="W6" s="32">
        <v>135</v>
      </c>
      <c r="X6" s="32">
        <v>90</v>
      </c>
      <c r="Y6" s="32">
        <v>52</v>
      </c>
      <c r="Z6" s="32">
        <v>80</v>
      </c>
    </row>
    <row r="7" spans="1:26" ht="19">
      <c r="A7" s="31" t="s">
        <v>19</v>
      </c>
      <c r="B7" s="31" t="s">
        <v>223</v>
      </c>
      <c r="C7" s="32">
        <f>C5*C6/1000</f>
        <v>8.4640000000000004</v>
      </c>
      <c r="D7" s="32">
        <f>D5*D6/1000</f>
        <v>5.016</v>
      </c>
      <c r="E7" s="32">
        <f>E5*E6/1000</f>
        <v>3.3479999999999999</v>
      </c>
      <c r="F7" s="32">
        <f>F5*F6/1000</f>
        <v>2.5920000000000001</v>
      </c>
      <c r="G7" s="32">
        <f>G5*G6/1000</f>
        <v>2.3919999999999999</v>
      </c>
      <c r="H7" s="32"/>
      <c r="K7" s="31" t="s">
        <v>19</v>
      </c>
      <c r="L7" s="31" t="s">
        <v>223</v>
      </c>
      <c r="M7" s="32">
        <f>M5*M6/1000</f>
        <v>5.49</v>
      </c>
      <c r="N7" s="32">
        <f>N5*N6/1000</f>
        <v>4.88</v>
      </c>
      <c r="O7" s="32">
        <f>O5*O6/1000</f>
        <v>3.22</v>
      </c>
      <c r="P7" s="32">
        <f>P5*P6/1000</f>
        <v>2.5920000000000001</v>
      </c>
      <c r="Q7" s="32">
        <f>Q5*Q6/1000</f>
        <v>2.3919999999999999</v>
      </c>
      <c r="R7" s="32"/>
      <c r="U7" s="31" t="s">
        <v>19</v>
      </c>
      <c r="V7" s="31" t="s">
        <v>223</v>
      </c>
      <c r="W7" s="32">
        <f>W5*W6/1000</f>
        <v>14.58</v>
      </c>
      <c r="X7" s="32">
        <f>X5*X6/1000</f>
        <v>5.4</v>
      </c>
      <c r="Y7" s="32">
        <f>Y5*Y6/1000</f>
        <v>2.6</v>
      </c>
      <c r="Z7" s="32">
        <f>Z5*Z6/1000</f>
        <v>4.88</v>
      </c>
    </row>
    <row r="8" spans="1:26" ht="19">
      <c r="A8" s="31" t="s">
        <v>19</v>
      </c>
      <c r="B8" s="31" t="s">
        <v>222</v>
      </c>
      <c r="C8" s="33">
        <f>C7*1000/C2^2</f>
        <v>9.4044444444444437</v>
      </c>
      <c r="D8" s="33">
        <f>D7*1000/D2^2</f>
        <v>7.4201183431952664</v>
      </c>
      <c r="E8" s="33">
        <f>E7*1000/E2^2</f>
        <v>8.3699999999999992</v>
      </c>
      <c r="F8" s="33">
        <f>F7*1000/F2^2</f>
        <v>7.5734112490869245</v>
      </c>
      <c r="G8" s="33">
        <f>G7*1000/G2^2</f>
        <v>9.1144642584971809</v>
      </c>
      <c r="H8" s="32"/>
      <c r="K8" s="31" t="s">
        <v>19</v>
      </c>
      <c r="L8" s="31" t="s">
        <v>222</v>
      </c>
      <c r="M8" s="33">
        <f>M7*1000/M2^2</f>
        <v>5.9016393442622954</v>
      </c>
      <c r="N8" s="33">
        <f>N7*1000/N2^2</f>
        <v>5.2459016393442619</v>
      </c>
      <c r="O8" s="33">
        <f>O7*1000/O2^2</f>
        <v>6.0869565217391308</v>
      </c>
      <c r="P8" s="33">
        <f>P7*1000/P2^2</f>
        <v>7.5734112490869245</v>
      </c>
      <c r="Q8" s="33">
        <f>Q7*1000/Q2^2</f>
        <v>9.1144642584971809</v>
      </c>
      <c r="R8" s="32"/>
      <c r="U8" s="31" t="s">
        <v>19</v>
      </c>
      <c r="V8" s="31" t="s">
        <v>222</v>
      </c>
      <c r="W8" s="33">
        <f>W7*1000/W2^2</f>
        <v>5</v>
      </c>
      <c r="X8" s="33">
        <f>X7*1000/X2^2</f>
        <v>6</v>
      </c>
      <c r="Y8" s="33">
        <f>Y7*1000/Y2^2</f>
        <v>4.16</v>
      </c>
      <c r="Z8" s="33">
        <f>Z7*1000/Z2^2</f>
        <v>5.2459016393442619</v>
      </c>
    </row>
    <row r="10" spans="1:26">
      <c r="G10">
        <f>G3/F3</f>
        <v>1.2751322751322751</v>
      </c>
    </row>
    <row r="11" spans="1:26">
      <c r="D11">
        <f>C7/D7</f>
        <v>1.6874003189792663</v>
      </c>
      <c r="E11">
        <f>D7/E7</f>
        <v>1.4982078853046596</v>
      </c>
      <c r="F11">
        <f>E7/F7</f>
        <v>1.2916666666666665</v>
      </c>
      <c r="G11">
        <f>F7/G7</f>
        <v>1.0836120401337794</v>
      </c>
    </row>
    <row r="12" spans="1:26">
      <c r="D12">
        <f t="shared" ref="D12:G14" si="0">D4/C4</f>
        <v>0.8666666666666667</v>
      </c>
      <c r="E12">
        <f t="shared" si="0"/>
        <v>0.76923076923076927</v>
      </c>
      <c r="F12">
        <f t="shared" si="0"/>
        <v>0.92500000000000004</v>
      </c>
      <c r="G12">
        <f t="shared" si="0"/>
        <v>0.87567567567567561</v>
      </c>
    </row>
    <row r="13" spans="1:26">
      <c r="D13">
        <f t="shared" si="0"/>
        <v>0.71739130434782605</v>
      </c>
      <c r="E13">
        <f t="shared" si="0"/>
        <v>0.81818181818181823</v>
      </c>
      <c r="F13">
        <f t="shared" si="0"/>
        <v>0.88888888888888884</v>
      </c>
      <c r="G13">
        <f t="shared" si="0"/>
        <v>0.95833333333333337</v>
      </c>
    </row>
    <row r="14" spans="1:26">
      <c r="D14">
        <f t="shared" si="0"/>
        <v>0.82608695652173914</v>
      </c>
      <c r="E14">
        <f t="shared" si="0"/>
        <v>0.81578947368421051</v>
      </c>
      <c r="F14">
        <f t="shared" si="0"/>
        <v>0.87096774193548387</v>
      </c>
      <c r="G14">
        <f t="shared" si="0"/>
        <v>0.96296296296296291</v>
      </c>
    </row>
    <row r="20" spans="4:7">
      <c r="D20">
        <f>E20/G20</f>
        <v>0.11623885608030166</v>
      </c>
      <c r="E20">
        <f>F3/G20</f>
        <v>0.14821991701244813</v>
      </c>
      <c r="G20">
        <f>G3/F3</f>
        <v>1.2751322751322751</v>
      </c>
    </row>
    <row r="21" spans="4:7">
      <c r="D21">
        <f>4*8</f>
        <v>32</v>
      </c>
    </row>
    <row r="22" spans="4:7">
      <c r="D22">
        <f>D21/D20</f>
        <v>275.29520746395974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5D339-AEBC-BA4A-A6B2-64AE1D93F8BF}">
  <dimension ref="A1"/>
  <sheetViews>
    <sheetView workbookViewId="0"/>
  </sheetViews>
  <sheetFormatPr baseColWidth="10" defaultRowHeight="16"/>
  <sheetData>
    <row r="1" spans="1:1">
      <c r="A1" t="s">
        <v>391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CCA78-2258-EE40-9846-B2FFC319C543}">
  <dimension ref="A1:K34"/>
  <sheetViews>
    <sheetView workbookViewId="0">
      <selection activeCell="G27" sqref="G27"/>
    </sheetView>
  </sheetViews>
  <sheetFormatPr baseColWidth="10" defaultRowHeight="16"/>
  <cols>
    <col min="1" max="1" width="30" bestFit="1" customWidth="1"/>
    <col min="2" max="11" width="15.83203125" style="2" customWidth="1"/>
  </cols>
  <sheetData>
    <row r="1" spans="1:11" ht="24">
      <c r="A1" s="34" t="s">
        <v>43</v>
      </c>
      <c r="B1" s="41"/>
      <c r="C1" s="41"/>
      <c r="D1" s="41"/>
      <c r="E1" s="41"/>
      <c r="F1" s="41"/>
      <c r="G1" s="41"/>
      <c r="H1" s="41"/>
      <c r="I1" s="41"/>
      <c r="J1" s="41"/>
      <c r="K1" s="41"/>
    </row>
    <row r="2" spans="1:11">
      <c r="A2" s="36"/>
      <c r="B2" s="42">
        <v>2018</v>
      </c>
      <c r="C2" s="42">
        <v>2019</v>
      </c>
      <c r="D2" s="42">
        <v>2020</v>
      </c>
      <c r="E2" s="42">
        <v>2021</v>
      </c>
      <c r="F2" s="42">
        <v>2022</v>
      </c>
      <c r="G2" s="42">
        <v>2023</v>
      </c>
      <c r="H2" s="42">
        <v>2024</v>
      </c>
      <c r="I2" s="41"/>
      <c r="J2" s="41"/>
      <c r="K2" s="41"/>
    </row>
    <row r="3" spans="1:11">
      <c r="A3" s="37" t="s">
        <v>231</v>
      </c>
      <c r="B3" s="43" t="s">
        <v>232</v>
      </c>
      <c r="C3" s="43" t="s">
        <v>232</v>
      </c>
      <c r="D3" s="43" t="s">
        <v>232</v>
      </c>
      <c r="E3" s="43" t="s">
        <v>233</v>
      </c>
      <c r="F3" s="43" t="s">
        <v>233</v>
      </c>
      <c r="G3" s="43" t="s">
        <v>233</v>
      </c>
      <c r="H3" s="43" t="s">
        <v>233</v>
      </c>
      <c r="I3" s="41"/>
      <c r="J3" s="41"/>
      <c r="K3" s="41"/>
    </row>
    <row r="4" spans="1:11">
      <c r="A4" s="37" t="s">
        <v>234</v>
      </c>
      <c r="B4" s="43" t="s">
        <v>235</v>
      </c>
      <c r="C4" s="43" t="s">
        <v>236</v>
      </c>
      <c r="D4" s="43" t="s">
        <v>236</v>
      </c>
      <c r="E4" s="43" t="s">
        <v>237</v>
      </c>
      <c r="F4" s="43" t="s">
        <v>237</v>
      </c>
      <c r="G4" s="43" t="s">
        <v>237</v>
      </c>
      <c r="H4" s="43" t="s">
        <v>237</v>
      </c>
      <c r="I4" s="41"/>
      <c r="J4" s="41"/>
      <c r="K4" s="41"/>
    </row>
    <row r="5" spans="1:11">
      <c r="A5" s="37" t="s">
        <v>238</v>
      </c>
      <c r="B5" s="43" t="s">
        <v>239</v>
      </c>
      <c r="C5" s="43" t="s">
        <v>240</v>
      </c>
      <c r="D5" s="43" t="s">
        <v>241</v>
      </c>
      <c r="E5" s="43" t="s">
        <v>242</v>
      </c>
      <c r="F5" s="43" t="s">
        <v>243</v>
      </c>
      <c r="G5" s="43" t="s">
        <v>244</v>
      </c>
      <c r="H5" s="43" t="s">
        <v>244</v>
      </c>
      <c r="I5" s="41"/>
      <c r="J5" s="41"/>
      <c r="K5" s="41"/>
    </row>
    <row r="6" spans="1:11">
      <c r="A6" s="37" t="s">
        <v>245</v>
      </c>
      <c r="B6" s="43" t="s">
        <v>246</v>
      </c>
      <c r="C6" s="43" t="s">
        <v>247</v>
      </c>
      <c r="D6" s="43" t="s">
        <v>247</v>
      </c>
      <c r="E6" s="43" t="s">
        <v>248</v>
      </c>
      <c r="F6" s="43" t="s">
        <v>248</v>
      </c>
      <c r="G6" s="43" t="s">
        <v>248</v>
      </c>
      <c r="H6" s="43" t="s">
        <v>248</v>
      </c>
      <c r="I6" s="41"/>
      <c r="J6" s="41"/>
      <c r="K6" s="41"/>
    </row>
    <row r="7" spans="1:11">
      <c r="A7" s="37" t="s">
        <v>249</v>
      </c>
      <c r="B7" s="43" t="s">
        <v>250</v>
      </c>
      <c r="C7" s="43" t="s">
        <v>250</v>
      </c>
      <c r="D7" s="43" t="s">
        <v>250</v>
      </c>
      <c r="E7" s="43" t="s">
        <v>250</v>
      </c>
      <c r="F7" s="43" t="s">
        <v>250</v>
      </c>
      <c r="G7" s="43" t="s">
        <v>250</v>
      </c>
      <c r="H7" s="43" t="s">
        <v>250</v>
      </c>
      <c r="I7" s="41"/>
      <c r="J7" s="41"/>
      <c r="K7" s="41"/>
    </row>
    <row r="8" spans="1:11">
      <c r="A8" s="38" t="s">
        <v>251</v>
      </c>
      <c r="B8" s="44" t="s">
        <v>252</v>
      </c>
      <c r="C8" s="44" t="s">
        <v>253</v>
      </c>
      <c r="D8" s="44" t="s">
        <v>253</v>
      </c>
      <c r="E8" s="44" t="s">
        <v>254</v>
      </c>
      <c r="F8" s="44" t="s">
        <v>254</v>
      </c>
      <c r="G8" s="44" t="s">
        <v>254</v>
      </c>
      <c r="H8" s="44" t="s">
        <v>254</v>
      </c>
      <c r="I8" s="41"/>
      <c r="J8" s="41"/>
      <c r="K8" s="41"/>
    </row>
    <row r="9" spans="1:11">
      <c r="A9" s="38" t="s">
        <v>255</v>
      </c>
      <c r="B9" s="44" t="s">
        <v>256</v>
      </c>
      <c r="C9" s="44" t="s">
        <v>257</v>
      </c>
      <c r="D9" s="44" t="s">
        <v>257</v>
      </c>
      <c r="E9" s="44" t="s">
        <v>258</v>
      </c>
      <c r="F9" s="44" t="s">
        <v>258</v>
      </c>
      <c r="G9" s="44" t="s">
        <v>258</v>
      </c>
      <c r="H9" s="44" t="s">
        <v>258</v>
      </c>
      <c r="I9" s="41"/>
      <c r="J9" s="41"/>
      <c r="K9" s="41"/>
    </row>
    <row r="10" spans="1:11">
      <c r="A10" s="38" t="s">
        <v>259</v>
      </c>
      <c r="B10" s="44" t="s">
        <v>260</v>
      </c>
      <c r="C10" s="44" t="s">
        <v>261</v>
      </c>
      <c r="D10" s="44" t="s">
        <v>261</v>
      </c>
      <c r="E10" s="44" t="s">
        <v>262</v>
      </c>
      <c r="F10" s="44" t="s">
        <v>262</v>
      </c>
      <c r="G10" s="44" t="s">
        <v>262</v>
      </c>
      <c r="H10" s="44" t="s">
        <v>262</v>
      </c>
      <c r="I10" s="41"/>
      <c r="J10" s="41"/>
      <c r="K10" s="41"/>
    </row>
    <row r="11" spans="1:11">
      <c r="A11" s="38" t="s">
        <v>263</v>
      </c>
      <c r="B11" s="44" t="s">
        <v>264</v>
      </c>
      <c r="C11" s="44" t="s">
        <v>265</v>
      </c>
      <c r="D11" s="44" t="s">
        <v>265</v>
      </c>
      <c r="E11" s="44" t="s">
        <v>266</v>
      </c>
      <c r="F11" s="44" t="s">
        <v>266</v>
      </c>
      <c r="G11" s="44" t="s">
        <v>266</v>
      </c>
      <c r="H11" s="44" t="s">
        <v>266</v>
      </c>
      <c r="I11" s="41"/>
      <c r="J11" s="41"/>
      <c r="K11" s="41"/>
    </row>
    <row r="12" spans="1:11">
      <c r="A12" s="38" t="s">
        <v>267</v>
      </c>
      <c r="B12" s="45">
        <v>0.86399999999999999</v>
      </c>
      <c r="C12" s="45">
        <v>0.88500000000000001</v>
      </c>
      <c r="D12" s="45">
        <v>0.88500000000000001</v>
      </c>
      <c r="E12" s="45">
        <v>0.84099999999999997</v>
      </c>
      <c r="F12" s="45">
        <v>0.84099999999999997</v>
      </c>
      <c r="G12" s="45">
        <v>0.84099999999999997</v>
      </c>
      <c r="H12" s="45">
        <v>0.84099999999999997</v>
      </c>
      <c r="I12" s="41"/>
      <c r="J12" s="41"/>
      <c r="K12" s="41"/>
    </row>
    <row r="13" spans="1:11">
      <c r="A13" s="38" t="s">
        <v>268</v>
      </c>
      <c r="B13" s="46">
        <v>1.45</v>
      </c>
      <c r="C13" s="46">
        <v>1.22</v>
      </c>
      <c r="D13" s="46">
        <v>1.21</v>
      </c>
      <c r="E13" s="46">
        <v>2.09</v>
      </c>
      <c r="F13" s="46">
        <v>2.08</v>
      </c>
      <c r="G13" s="46">
        <v>2.08</v>
      </c>
      <c r="H13" s="46">
        <v>2.08</v>
      </c>
      <c r="I13" s="41"/>
      <c r="J13" s="41"/>
      <c r="K13" s="41"/>
    </row>
    <row r="14" spans="1:11">
      <c r="A14" s="38" t="s">
        <v>269</v>
      </c>
      <c r="B14" s="46">
        <v>1.45</v>
      </c>
      <c r="C14" s="46">
        <v>1.22</v>
      </c>
      <c r="D14" s="46">
        <v>1.21</v>
      </c>
      <c r="E14" s="46">
        <v>1.04</v>
      </c>
      <c r="F14" s="46">
        <v>1.04</v>
      </c>
      <c r="G14" s="46">
        <v>1.04</v>
      </c>
      <c r="H14" s="46">
        <v>1.04</v>
      </c>
      <c r="I14" s="41"/>
      <c r="J14" s="41"/>
      <c r="K14" s="41"/>
    </row>
    <row r="15" spans="1:11">
      <c r="A15" s="39" t="s">
        <v>270</v>
      </c>
      <c r="B15" s="47">
        <v>28</v>
      </c>
      <c r="C15" s="47">
        <v>28</v>
      </c>
      <c r="D15" s="47">
        <v>28</v>
      </c>
      <c r="E15" s="47">
        <v>28</v>
      </c>
      <c r="F15" s="47">
        <v>28</v>
      </c>
      <c r="G15" s="47">
        <v>28</v>
      </c>
      <c r="H15" s="47">
        <v>28</v>
      </c>
      <c r="I15" s="41"/>
      <c r="J15" s="41"/>
      <c r="K15" s="41"/>
    </row>
    <row r="16" spans="1:11">
      <c r="A16" s="39" t="s">
        <v>271</v>
      </c>
      <c r="B16" s="47">
        <v>2.67</v>
      </c>
      <c r="C16" s="47">
        <v>2.93</v>
      </c>
      <c r="D16" s="47">
        <v>3.2</v>
      </c>
      <c r="E16" s="47">
        <v>3.2</v>
      </c>
      <c r="F16" s="47">
        <v>3.2</v>
      </c>
      <c r="G16" s="47">
        <v>3.2</v>
      </c>
      <c r="H16" s="47">
        <v>3.2</v>
      </c>
      <c r="I16" s="41"/>
      <c r="J16" s="41"/>
      <c r="K16" s="41"/>
    </row>
    <row r="17" spans="1:11">
      <c r="A17" s="35"/>
      <c r="B17" s="41"/>
      <c r="C17" s="41"/>
      <c r="D17" s="41"/>
      <c r="E17" s="41"/>
      <c r="F17" s="41"/>
      <c r="G17" s="41"/>
      <c r="H17" s="41"/>
      <c r="I17" s="41"/>
      <c r="J17" s="41"/>
      <c r="K17" s="41"/>
    </row>
    <row r="18" spans="1:11" ht="21">
      <c r="A18" s="40" t="s">
        <v>272</v>
      </c>
      <c r="B18" s="41"/>
      <c r="C18" s="41"/>
      <c r="D18" s="41"/>
      <c r="E18" s="41"/>
      <c r="F18" s="41"/>
      <c r="G18" s="41"/>
      <c r="H18" s="41"/>
      <c r="I18" s="41"/>
      <c r="J18" s="41"/>
      <c r="K18" s="41"/>
    </row>
    <row r="19" spans="1:11">
      <c r="A19" s="36"/>
      <c r="B19" s="42">
        <v>2018</v>
      </c>
      <c r="C19" s="42">
        <v>2019</v>
      </c>
      <c r="D19" s="42">
        <v>2020</v>
      </c>
      <c r="E19" s="42">
        <v>2021</v>
      </c>
      <c r="F19" s="42">
        <v>2022</v>
      </c>
      <c r="G19" s="42">
        <v>2023</v>
      </c>
      <c r="H19" s="42">
        <v>2024</v>
      </c>
      <c r="I19" s="42">
        <v>2025</v>
      </c>
      <c r="J19" s="42">
        <v>2026</v>
      </c>
      <c r="K19" s="42">
        <v>2027</v>
      </c>
    </row>
    <row r="20" spans="1:11">
      <c r="A20" s="37" t="s">
        <v>231</v>
      </c>
      <c r="B20" s="43"/>
      <c r="C20" s="43"/>
      <c r="D20" s="43" t="s">
        <v>233</v>
      </c>
      <c r="E20" s="43" t="s">
        <v>233</v>
      </c>
      <c r="F20" s="43" t="s">
        <v>233</v>
      </c>
      <c r="G20" s="43" t="s">
        <v>233</v>
      </c>
      <c r="H20" s="43" t="s">
        <v>233</v>
      </c>
      <c r="I20" s="43" t="s">
        <v>273</v>
      </c>
      <c r="J20" s="43" t="s">
        <v>273</v>
      </c>
      <c r="K20" s="43" t="s">
        <v>274</v>
      </c>
    </row>
    <row r="21" spans="1:11">
      <c r="A21" s="37" t="s">
        <v>234</v>
      </c>
      <c r="B21" s="43"/>
      <c r="C21" s="43"/>
      <c r="D21" s="43" t="s">
        <v>236</v>
      </c>
      <c r="E21" s="43" t="s">
        <v>237</v>
      </c>
      <c r="F21" s="43" t="s">
        <v>237</v>
      </c>
      <c r="G21" s="43" t="s">
        <v>275</v>
      </c>
      <c r="H21" s="43" t="s">
        <v>275</v>
      </c>
      <c r="I21" s="43" t="s">
        <v>276</v>
      </c>
      <c r="J21" s="43" t="s">
        <v>276</v>
      </c>
      <c r="K21" s="43" t="s">
        <v>277</v>
      </c>
    </row>
    <row r="22" spans="1:11">
      <c r="A22" s="37" t="s">
        <v>238</v>
      </c>
      <c r="B22" s="43"/>
      <c r="C22" s="43"/>
      <c r="D22" s="43" t="s">
        <v>278</v>
      </c>
      <c r="E22" s="43" t="s">
        <v>279</v>
      </c>
      <c r="F22" s="43" t="s">
        <v>280</v>
      </c>
      <c r="G22" s="43" t="s">
        <v>281</v>
      </c>
      <c r="H22" s="43" t="s">
        <v>282</v>
      </c>
      <c r="I22" s="43" t="s">
        <v>283</v>
      </c>
      <c r="J22" s="43" t="s">
        <v>284</v>
      </c>
      <c r="K22" s="43" t="s">
        <v>285</v>
      </c>
    </row>
    <row r="23" spans="1:11">
      <c r="A23" s="37" t="s">
        <v>245</v>
      </c>
      <c r="B23" s="43"/>
      <c r="C23" s="43"/>
      <c r="D23" s="43" t="s">
        <v>286</v>
      </c>
      <c r="E23" s="43" t="s">
        <v>287</v>
      </c>
      <c r="F23" s="43" t="s">
        <v>287</v>
      </c>
      <c r="G23" s="43" t="s">
        <v>288</v>
      </c>
      <c r="H23" s="43" t="s">
        <v>288</v>
      </c>
      <c r="I23" s="43" t="s">
        <v>289</v>
      </c>
      <c r="J23" s="43" t="s">
        <v>289</v>
      </c>
      <c r="K23" s="43" t="s">
        <v>290</v>
      </c>
    </row>
    <row r="24" spans="1:11">
      <c r="A24" s="37" t="s">
        <v>249</v>
      </c>
      <c r="B24" s="43"/>
      <c r="C24" s="43"/>
      <c r="D24" s="43" t="s">
        <v>250</v>
      </c>
      <c r="E24" s="43" t="s">
        <v>250</v>
      </c>
      <c r="F24" s="43" t="s">
        <v>250</v>
      </c>
      <c r="G24" s="43" t="s">
        <v>250</v>
      </c>
      <c r="H24" s="43" t="s">
        <v>250</v>
      </c>
      <c r="I24" s="43" t="s">
        <v>250</v>
      </c>
      <c r="J24" s="43" t="s">
        <v>250</v>
      </c>
      <c r="K24" s="43" t="s">
        <v>250</v>
      </c>
    </row>
    <row r="25" spans="1:11">
      <c r="A25" s="38" t="s">
        <v>251</v>
      </c>
      <c r="B25" s="44"/>
      <c r="C25" s="44"/>
      <c r="D25" s="44" t="s">
        <v>291</v>
      </c>
      <c r="E25" s="44" t="s">
        <v>254</v>
      </c>
      <c r="F25" s="44" t="s">
        <v>254</v>
      </c>
      <c r="G25" s="44" t="s">
        <v>254</v>
      </c>
      <c r="H25" s="44" t="s">
        <v>254</v>
      </c>
      <c r="I25" s="44" t="s">
        <v>292</v>
      </c>
      <c r="J25" s="44" t="s">
        <v>292</v>
      </c>
      <c r="K25" s="44" t="s">
        <v>293</v>
      </c>
    </row>
    <row r="26" spans="1:11">
      <c r="A26" s="38" t="s">
        <v>255</v>
      </c>
      <c r="B26" s="44"/>
      <c r="C26" s="44"/>
      <c r="D26" s="44" t="s">
        <v>294</v>
      </c>
      <c r="E26" s="44" t="s">
        <v>295</v>
      </c>
      <c r="F26" s="44" t="s">
        <v>295</v>
      </c>
      <c r="G26" s="44" t="s">
        <v>296</v>
      </c>
      <c r="H26" s="44" t="s">
        <v>296</v>
      </c>
      <c r="I26" s="44" t="s">
        <v>297</v>
      </c>
      <c r="J26" s="44" t="s">
        <v>297</v>
      </c>
      <c r="K26" s="44" t="s">
        <v>298</v>
      </c>
    </row>
    <row r="27" spans="1:11">
      <c r="A27" s="38" t="s">
        <v>259</v>
      </c>
      <c r="B27" s="44"/>
      <c r="C27" s="44"/>
      <c r="D27" s="44" t="s">
        <v>299</v>
      </c>
      <c r="E27" s="44" t="s">
        <v>300</v>
      </c>
      <c r="F27" s="44" t="s">
        <v>300</v>
      </c>
      <c r="G27" s="44" t="s">
        <v>301</v>
      </c>
      <c r="H27" s="44" t="s">
        <v>301</v>
      </c>
      <c r="I27" s="44" t="s">
        <v>302</v>
      </c>
      <c r="J27" s="44" t="s">
        <v>302</v>
      </c>
      <c r="K27" s="44" t="s">
        <v>303</v>
      </c>
    </row>
    <row r="28" spans="1:11">
      <c r="A28" s="38" t="s">
        <v>263</v>
      </c>
      <c r="B28" s="44"/>
      <c r="C28" s="44"/>
      <c r="D28" s="44" t="s">
        <v>304</v>
      </c>
      <c r="E28" s="44" t="s">
        <v>305</v>
      </c>
      <c r="F28" s="44" t="s">
        <v>305</v>
      </c>
      <c r="G28" s="44" t="s">
        <v>306</v>
      </c>
      <c r="H28" s="44" t="s">
        <v>306</v>
      </c>
      <c r="I28" s="44" t="s">
        <v>307</v>
      </c>
      <c r="J28" s="44" t="s">
        <v>307</v>
      </c>
      <c r="K28" s="44" t="s">
        <v>308</v>
      </c>
    </row>
    <row r="29" spans="1:11">
      <c r="A29" s="38" t="s">
        <v>267</v>
      </c>
      <c r="B29" s="44"/>
      <c r="C29" s="44"/>
      <c r="D29" s="45">
        <v>0.84399999999999997</v>
      </c>
      <c r="E29" s="45">
        <v>0.86799999999999999</v>
      </c>
      <c r="F29" s="45">
        <v>0.86799999999999999</v>
      </c>
      <c r="G29" s="45">
        <v>0.88800000000000001</v>
      </c>
      <c r="H29" s="45">
        <v>0.88800000000000001</v>
      </c>
      <c r="I29" s="45">
        <v>0.874</v>
      </c>
      <c r="J29" s="45">
        <v>0.874</v>
      </c>
      <c r="K29" s="45">
        <v>0.86899999999999999</v>
      </c>
    </row>
    <row r="30" spans="1:11">
      <c r="A30" s="38" t="s">
        <v>268</v>
      </c>
      <c r="B30" s="44"/>
      <c r="C30" s="44"/>
      <c r="D30" s="46">
        <v>3</v>
      </c>
      <c r="E30" s="46">
        <v>2.35</v>
      </c>
      <c r="F30" s="46">
        <v>2.34</v>
      </c>
      <c r="G30" s="46">
        <v>1.87</v>
      </c>
      <c r="H30" s="46">
        <v>1.87</v>
      </c>
      <c r="I30" s="46">
        <v>2.48</v>
      </c>
      <c r="J30" s="46">
        <v>2.4900000000000002</v>
      </c>
      <c r="K30" s="46">
        <v>2.69</v>
      </c>
    </row>
    <row r="31" spans="1:11">
      <c r="A31" s="38" t="s">
        <v>269</v>
      </c>
      <c r="B31" s="44"/>
      <c r="C31" s="44"/>
      <c r="D31" s="46">
        <v>1.5</v>
      </c>
      <c r="E31" s="46">
        <v>1.18</v>
      </c>
      <c r="F31" s="46">
        <v>1.17</v>
      </c>
      <c r="G31" s="46">
        <v>0.93</v>
      </c>
      <c r="H31" s="46">
        <v>0.93</v>
      </c>
      <c r="I31" s="46">
        <v>0.83</v>
      </c>
      <c r="J31" s="46">
        <v>0.83</v>
      </c>
      <c r="K31" s="46">
        <v>0.67</v>
      </c>
    </row>
    <row r="32" spans="1:11">
      <c r="A32" s="35"/>
      <c r="B32" s="41"/>
      <c r="C32" s="41"/>
      <c r="D32" s="41"/>
      <c r="E32" s="41"/>
      <c r="F32" s="41"/>
      <c r="G32" s="41"/>
      <c r="H32" s="41"/>
      <c r="I32" s="41"/>
      <c r="J32" s="41"/>
      <c r="K32" s="41"/>
    </row>
    <row r="33" spans="1:11">
      <c r="A33" s="39" t="s">
        <v>270</v>
      </c>
      <c r="B33" s="41"/>
      <c r="C33" s="41"/>
      <c r="D33" s="41"/>
      <c r="E33" s="43">
        <v>33</v>
      </c>
      <c r="F33" s="43">
        <v>33</v>
      </c>
      <c r="G33" s="43">
        <v>33</v>
      </c>
      <c r="H33" s="43">
        <v>33</v>
      </c>
      <c r="I33" s="43">
        <v>33</v>
      </c>
      <c r="J33" s="43">
        <v>33</v>
      </c>
      <c r="K33" s="43">
        <v>33</v>
      </c>
    </row>
    <row r="34" spans="1:11">
      <c r="A34" s="39" t="s">
        <v>309</v>
      </c>
      <c r="B34" s="41"/>
      <c r="C34" s="41"/>
      <c r="D34" s="41"/>
      <c r="E34" s="43">
        <v>4.8</v>
      </c>
      <c r="F34" s="43">
        <v>5.6</v>
      </c>
      <c r="G34" s="43">
        <v>6.4</v>
      </c>
      <c r="H34" s="43">
        <v>7.2</v>
      </c>
      <c r="I34" s="43">
        <v>8.4</v>
      </c>
      <c r="J34" s="43">
        <v>8.4</v>
      </c>
      <c r="K34" s="43">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84FF-C4B6-2B4A-B717-E550928626D8}">
  <dimension ref="A1:M40"/>
  <sheetViews>
    <sheetView zoomScale="180" zoomScaleNormal="180" workbookViewId="0">
      <pane xSplit="2" ySplit="1" topLeftCell="C2" activePane="bottomRight" state="frozen"/>
      <selection pane="topRight" activeCell="C1" sqref="C1"/>
      <selection pane="bottomLeft" activeCell="A2" sqref="A2"/>
      <selection pane="bottomRight" activeCell="F13" sqref="F13"/>
    </sheetView>
  </sheetViews>
  <sheetFormatPr baseColWidth="10" defaultRowHeight="16"/>
  <cols>
    <col min="1" max="1" width="28.1640625" customWidth="1"/>
    <col min="2" max="2" width="10.1640625" bestFit="1" customWidth="1"/>
    <col min="3" max="3" width="12.83203125" customWidth="1"/>
    <col min="4" max="4" width="12.83203125" style="2" customWidth="1"/>
    <col min="5" max="5" width="14.33203125" style="2" customWidth="1"/>
    <col min="6" max="6" width="11.83203125" style="2" bestFit="1" customWidth="1"/>
    <col min="7" max="7" width="12.1640625" style="2" customWidth="1"/>
    <col min="8" max="8" width="13.83203125" style="2" customWidth="1"/>
    <col min="9" max="12" width="14.83203125" style="2" bestFit="1" customWidth="1"/>
    <col min="13" max="13" width="12.33203125" style="2" bestFit="1" customWidth="1"/>
  </cols>
  <sheetData>
    <row r="1" spans="1:13">
      <c r="A1" s="50"/>
      <c r="B1" s="50"/>
      <c r="C1" s="50" t="s">
        <v>310</v>
      </c>
      <c r="D1" s="53" t="s">
        <v>310</v>
      </c>
      <c r="E1" s="53" t="s">
        <v>350</v>
      </c>
      <c r="F1" s="53" t="s">
        <v>355</v>
      </c>
      <c r="G1" s="53" t="s">
        <v>325</v>
      </c>
      <c r="H1" s="53" t="s">
        <v>322</v>
      </c>
      <c r="I1" s="53" t="s">
        <v>339</v>
      </c>
      <c r="J1" s="53" t="s">
        <v>340</v>
      </c>
      <c r="K1" s="53" t="s">
        <v>333</v>
      </c>
      <c r="L1" s="53" t="s">
        <v>334</v>
      </c>
      <c r="M1" s="53" t="s">
        <v>338</v>
      </c>
    </row>
    <row r="2" spans="1:13">
      <c r="A2" s="50" t="s">
        <v>311</v>
      </c>
      <c r="B2" s="50"/>
      <c r="C2" s="50" t="s">
        <v>6</v>
      </c>
      <c r="D2" s="53" t="s">
        <v>6</v>
      </c>
      <c r="E2" s="53" t="s">
        <v>6</v>
      </c>
      <c r="F2" s="53" t="s">
        <v>6</v>
      </c>
      <c r="G2" s="53" t="s">
        <v>312</v>
      </c>
      <c r="H2" s="53" t="s">
        <v>312</v>
      </c>
      <c r="I2" s="53" t="s">
        <v>312</v>
      </c>
      <c r="J2" s="53" t="s">
        <v>312</v>
      </c>
      <c r="K2" s="53" t="s">
        <v>326</v>
      </c>
      <c r="L2" s="53" t="s">
        <v>326</v>
      </c>
      <c r="M2" s="53" t="s">
        <v>326</v>
      </c>
    </row>
    <row r="3" spans="1:13">
      <c r="A3" s="62" t="s">
        <v>9</v>
      </c>
      <c r="B3" s="50" t="s">
        <v>1</v>
      </c>
      <c r="C3" s="50">
        <v>2</v>
      </c>
      <c r="D3" s="53">
        <v>2</v>
      </c>
      <c r="E3" s="53">
        <f>1/128</f>
        <v>7.8125E-3</v>
      </c>
      <c r="F3" s="53"/>
      <c r="G3" s="53">
        <f>4*4*4*128/1024</f>
        <v>8</v>
      </c>
      <c r="H3" s="53">
        <f>4*4*4*128/1024</f>
        <v>8</v>
      </c>
      <c r="I3" s="53">
        <f>4*4*4*128/1024</f>
        <v>8</v>
      </c>
      <c r="J3" s="53">
        <f>4*4*4*128/1024</f>
        <v>8</v>
      </c>
      <c r="K3" s="2">
        <v>1024</v>
      </c>
      <c r="L3" s="2">
        <v>1024</v>
      </c>
      <c r="M3" s="2">
        <v>1024</v>
      </c>
    </row>
    <row r="4" spans="1:13">
      <c r="A4" s="62"/>
      <c r="B4" s="50" t="s">
        <v>349</v>
      </c>
      <c r="C4" s="50"/>
      <c r="D4" s="53"/>
      <c r="E4" s="53">
        <f>E3*1024</f>
        <v>8</v>
      </c>
      <c r="F4" s="53"/>
      <c r="G4" s="53"/>
      <c r="H4" s="53"/>
      <c r="I4" s="53"/>
      <c r="J4" s="53"/>
    </row>
    <row r="5" spans="1:13" ht="19">
      <c r="A5" s="50" t="s">
        <v>315</v>
      </c>
      <c r="B5" s="50" t="s">
        <v>323</v>
      </c>
      <c r="C5" s="50">
        <v>10.8</v>
      </c>
      <c r="D5" s="53">
        <v>10.8</v>
      </c>
      <c r="E5" s="53">
        <v>0.6</v>
      </c>
      <c r="F5" s="53">
        <v>0.15</v>
      </c>
      <c r="G5" s="53">
        <f>200/32</f>
        <v>6.25</v>
      </c>
      <c r="H5" s="53">
        <f>200/32</f>
        <v>6.25</v>
      </c>
      <c r="I5" s="54">
        <f>255/32</f>
        <v>7.96875</v>
      </c>
      <c r="J5" s="54">
        <f>255/32</f>
        <v>7.96875</v>
      </c>
      <c r="K5" s="53">
        <v>114.6</v>
      </c>
      <c r="L5" s="53">
        <v>114.6</v>
      </c>
      <c r="M5" s="53">
        <v>114.6</v>
      </c>
    </row>
    <row r="6" spans="1:13">
      <c r="A6" s="50" t="s">
        <v>353</v>
      </c>
      <c r="B6" s="50" t="s">
        <v>313</v>
      </c>
      <c r="C6" s="50">
        <v>1024</v>
      </c>
      <c r="D6" s="53">
        <v>1024</v>
      </c>
      <c r="E6" s="53">
        <v>512</v>
      </c>
      <c r="F6" s="53">
        <v>64</v>
      </c>
      <c r="G6" s="53">
        <v>16</v>
      </c>
      <c r="H6" s="53">
        <v>16</v>
      </c>
      <c r="I6" s="53">
        <v>16</v>
      </c>
      <c r="J6" s="53">
        <v>16</v>
      </c>
      <c r="K6" s="2">
        <f>64*1024</f>
        <v>65536</v>
      </c>
      <c r="L6" s="2">
        <f>64*1024</f>
        <v>65536</v>
      </c>
      <c r="M6" s="2">
        <f>288*2^20</f>
        <v>301989888</v>
      </c>
    </row>
    <row r="7" spans="1:13">
      <c r="A7" s="50" t="s">
        <v>354</v>
      </c>
      <c r="B7" s="50" t="s">
        <v>313</v>
      </c>
      <c r="C7" s="50">
        <v>4</v>
      </c>
      <c r="D7" s="53">
        <v>4</v>
      </c>
      <c r="E7" s="53">
        <v>64</v>
      </c>
      <c r="F7" s="53">
        <v>64</v>
      </c>
      <c r="G7" s="53">
        <v>16</v>
      </c>
      <c r="H7" s="53">
        <v>16</v>
      </c>
      <c r="I7" s="53">
        <v>16</v>
      </c>
      <c r="J7" s="53">
        <v>16</v>
      </c>
    </row>
    <row r="8" spans="1:13">
      <c r="A8" s="50" t="s">
        <v>314</v>
      </c>
      <c r="B8" s="50" t="s">
        <v>94</v>
      </c>
      <c r="C8" s="50">
        <v>45</v>
      </c>
      <c r="D8" s="53">
        <v>45</v>
      </c>
      <c r="E8" s="53">
        <v>5</v>
      </c>
      <c r="F8" s="53">
        <v>10</v>
      </c>
      <c r="G8" s="53">
        <v>100</v>
      </c>
      <c r="H8" s="53">
        <v>465</v>
      </c>
      <c r="I8" s="53">
        <v>70</v>
      </c>
      <c r="J8" s="53">
        <v>162.5</v>
      </c>
      <c r="K8" s="53">
        <v>122000</v>
      </c>
      <c r="L8" s="55">
        <v>2100000</v>
      </c>
      <c r="M8" s="55">
        <v>15000000</v>
      </c>
    </row>
    <row r="9" spans="1:13">
      <c r="A9" s="50" t="s">
        <v>341</v>
      </c>
      <c r="B9" s="50" t="s">
        <v>344</v>
      </c>
      <c r="C9" s="50">
        <v>1</v>
      </c>
      <c r="D9" s="53">
        <v>1</v>
      </c>
      <c r="E9" s="53">
        <v>1</v>
      </c>
      <c r="F9" s="53">
        <v>1</v>
      </c>
      <c r="G9" s="53">
        <v>44</v>
      </c>
      <c r="H9" s="53">
        <v>104</v>
      </c>
      <c r="I9" s="56">
        <v>47</v>
      </c>
      <c r="J9" s="56">
        <v>107</v>
      </c>
      <c r="K9" s="53"/>
      <c r="L9" s="53"/>
      <c r="M9" s="53"/>
    </row>
    <row r="10" spans="1:13">
      <c r="A10" s="50" t="s">
        <v>351</v>
      </c>
      <c r="B10" s="50" t="s">
        <v>356</v>
      </c>
      <c r="C10" s="52">
        <f t="shared" ref="C10:M10" si="0">C6/C8</f>
        <v>22.755555555555556</v>
      </c>
      <c r="D10" s="54">
        <f t="shared" ref="D10" si="1">D6/D8</f>
        <v>22.755555555555556</v>
      </c>
      <c r="E10" s="54">
        <f t="shared" si="0"/>
        <v>102.4</v>
      </c>
      <c r="F10" s="54">
        <f t="shared" si="0"/>
        <v>6.4</v>
      </c>
      <c r="G10" s="54">
        <f t="shared" si="0"/>
        <v>0.16</v>
      </c>
      <c r="H10" s="54">
        <f t="shared" si="0"/>
        <v>3.4408602150537634E-2</v>
      </c>
      <c r="I10" s="54">
        <f t="shared" si="0"/>
        <v>0.22857142857142856</v>
      </c>
      <c r="J10" s="54">
        <f t="shared" si="0"/>
        <v>9.8461538461538461E-2</v>
      </c>
      <c r="K10" s="54">
        <f t="shared" si="0"/>
        <v>0.5371803278688525</v>
      </c>
      <c r="L10" s="54">
        <f t="shared" si="0"/>
        <v>3.1207619047619047E-2</v>
      </c>
      <c r="M10" s="54">
        <f t="shared" si="0"/>
        <v>20.132659199999999</v>
      </c>
    </row>
    <row r="11" spans="1:13">
      <c r="A11" s="50" t="s">
        <v>352</v>
      </c>
      <c r="B11" s="50" t="s">
        <v>356</v>
      </c>
      <c r="C11" s="52">
        <f t="shared" ref="C11:J11" si="2">C7/C8</f>
        <v>8.8888888888888892E-2</v>
      </c>
      <c r="D11" s="54">
        <f t="shared" si="2"/>
        <v>8.8888888888888892E-2</v>
      </c>
      <c r="E11" s="54">
        <f t="shared" si="2"/>
        <v>12.8</v>
      </c>
      <c r="F11" s="54">
        <f t="shared" si="2"/>
        <v>6.4</v>
      </c>
      <c r="G11" s="54">
        <f t="shared" si="2"/>
        <v>0.16</v>
      </c>
      <c r="H11" s="54">
        <f t="shared" si="2"/>
        <v>3.4408602150537634E-2</v>
      </c>
      <c r="I11" s="54">
        <f t="shared" si="2"/>
        <v>0.22857142857142856</v>
      </c>
      <c r="J11" s="54">
        <f t="shared" si="2"/>
        <v>9.8461538461538461E-2</v>
      </c>
      <c r="K11" s="54"/>
      <c r="L11" s="54"/>
      <c r="M11" s="54"/>
    </row>
    <row r="12" spans="1:13">
      <c r="A12" s="50" t="s">
        <v>342</v>
      </c>
      <c r="B12" s="50" t="s">
        <v>343</v>
      </c>
      <c r="C12" s="52">
        <f t="shared" ref="C12:J12" si="3">C9*8*C10</f>
        <v>182.04444444444445</v>
      </c>
      <c r="D12" s="54">
        <f t="shared" ref="D12" si="4">D9*8*D10</f>
        <v>182.04444444444445</v>
      </c>
      <c r="E12" s="54">
        <f t="shared" si="3"/>
        <v>819.2</v>
      </c>
      <c r="F12" s="54">
        <f t="shared" si="3"/>
        <v>51.2</v>
      </c>
      <c r="G12" s="54">
        <f t="shared" si="3"/>
        <v>56.32</v>
      </c>
      <c r="H12" s="54">
        <f t="shared" si="3"/>
        <v>28.627956989247313</v>
      </c>
      <c r="I12" s="54">
        <f t="shared" si="3"/>
        <v>85.942857142857136</v>
      </c>
      <c r="J12" s="54">
        <f t="shared" si="3"/>
        <v>84.283076923076919</v>
      </c>
      <c r="K12" s="54"/>
      <c r="L12" s="54"/>
      <c r="M12" s="54"/>
    </row>
    <row r="13" spans="1:13" ht="19">
      <c r="A13" s="51" t="s">
        <v>4</v>
      </c>
      <c r="B13" s="50" t="s">
        <v>324</v>
      </c>
      <c r="C13" s="50">
        <v>0.2</v>
      </c>
      <c r="D13" s="53">
        <v>0.2</v>
      </c>
      <c r="E13" s="53">
        <v>1.2999999999999999E-2</v>
      </c>
      <c r="F13" s="53">
        <v>0.04</v>
      </c>
      <c r="G13" s="53">
        <f t="shared" ref="G13:M13" si="5">G3/G5</f>
        <v>1.28</v>
      </c>
      <c r="H13" s="53">
        <f t="shared" si="5"/>
        <v>1.28</v>
      </c>
      <c r="I13" s="54">
        <f t="shared" si="5"/>
        <v>1.003921568627451</v>
      </c>
      <c r="J13" s="54">
        <f t="shared" si="5"/>
        <v>1.003921568627451</v>
      </c>
      <c r="K13" s="54">
        <f t="shared" si="5"/>
        <v>8.9354275741710296</v>
      </c>
      <c r="L13" s="54">
        <f t="shared" si="5"/>
        <v>8.9354275741710296</v>
      </c>
      <c r="M13" s="54">
        <f t="shared" si="5"/>
        <v>8.9354275741710296</v>
      </c>
    </row>
    <row r="14" spans="1:13" ht="19">
      <c r="A14" s="51" t="s">
        <v>345</v>
      </c>
      <c r="B14" s="50" t="s">
        <v>346</v>
      </c>
      <c r="C14" s="52">
        <f t="shared" ref="C14:J14" si="6">C12/C5</f>
        <v>16.855967078189298</v>
      </c>
      <c r="D14" s="54">
        <f t="shared" ref="D14" si="7">D12/D5</f>
        <v>16.855967078189298</v>
      </c>
      <c r="E14" s="54">
        <f t="shared" si="6"/>
        <v>1365.3333333333335</v>
      </c>
      <c r="F14" s="54">
        <f t="shared" si="6"/>
        <v>341.33333333333337</v>
      </c>
      <c r="G14" s="54">
        <f t="shared" si="6"/>
        <v>9.0112000000000005</v>
      </c>
      <c r="H14" s="54">
        <f t="shared" si="6"/>
        <v>4.5804731182795697</v>
      </c>
      <c r="I14" s="54">
        <f t="shared" si="6"/>
        <v>10.784985994397758</v>
      </c>
      <c r="J14" s="54">
        <f t="shared" si="6"/>
        <v>10.576699849170437</v>
      </c>
      <c r="K14" s="54"/>
      <c r="L14" s="54"/>
      <c r="M14" s="54"/>
    </row>
    <row r="15" spans="1:13" ht="19">
      <c r="A15" s="50" t="s">
        <v>357</v>
      </c>
      <c r="B15" s="50" t="s">
        <v>347</v>
      </c>
      <c r="C15" s="52">
        <f t="shared" ref="C15:M15" si="8">C10/C5</f>
        <v>2.1069958847736623</v>
      </c>
      <c r="D15" s="54">
        <f t="shared" ref="D15" si="9">D10/D5</f>
        <v>2.1069958847736623</v>
      </c>
      <c r="E15" s="54">
        <f>E10/E5</f>
        <v>170.66666666666669</v>
      </c>
      <c r="F15" s="54">
        <f t="shared" si="8"/>
        <v>42.666666666666671</v>
      </c>
      <c r="G15" s="54">
        <f>G10/G5</f>
        <v>2.5600000000000001E-2</v>
      </c>
      <c r="H15" s="54">
        <f>H10/H5</f>
        <v>5.5053763440860212E-3</v>
      </c>
      <c r="I15" s="54">
        <f>I10/I5</f>
        <v>2.8683473389355743E-2</v>
      </c>
      <c r="J15" s="54">
        <f>J10/J5</f>
        <v>1.2355957767722473E-2</v>
      </c>
      <c r="K15" s="54">
        <f t="shared" si="8"/>
        <v>4.6874374159585732E-3</v>
      </c>
      <c r="L15" s="54">
        <f t="shared" si="8"/>
        <v>2.7231779273664093E-4</v>
      </c>
      <c r="M15" s="54">
        <f t="shared" si="8"/>
        <v>0.17567765445026179</v>
      </c>
    </row>
    <row r="16" spans="1:13">
      <c r="A16" s="50" t="s">
        <v>358</v>
      </c>
      <c r="B16" s="50" t="s">
        <v>348</v>
      </c>
      <c r="C16" s="52">
        <f>C10/C3</f>
        <v>11.377777777777778</v>
      </c>
      <c r="D16" s="54">
        <f>D10/D3</f>
        <v>11.377777777777778</v>
      </c>
      <c r="E16" s="54">
        <f>E10/E3</f>
        <v>13107.2</v>
      </c>
      <c r="F16" s="54"/>
      <c r="G16" s="54">
        <f>G10/G3</f>
        <v>0.02</v>
      </c>
      <c r="H16" s="54">
        <f>H10/H3</f>
        <v>4.3010752688172043E-3</v>
      </c>
      <c r="I16" s="54">
        <f>I10/I3</f>
        <v>2.8571428571428571E-2</v>
      </c>
      <c r="J16" s="54">
        <f>J10/J3</f>
        <v>1.2307692307692308E-2</v>
      </c>
      <c r="K16" s="54"/>
      <c r="L16" s="54"/>
      <c r="M16" s="54"/>
    </row>
    <row r="17" spans="1:13" ht="19">
      <c r="A17" s="50" t="s">
        <v>359</v>
      </c>
      <c r="B17" s="50" t="s">
        <v>347</v>
      </c>
      <c r="C17" s="52">
        <f>C11/C5</f>
        <v>8.2304526748971183E-3</v>
      </c>
      <c r="D17" s="54">
        <f>D11/D5</f>
        <v>8.2304526748971183E-3</v>
      </c>
      <c r="E17" s="54">
        <f>E11/E5</f>
        <v>21.333333333333336</v>
      </c>
      <c r="F17" s="54">
        <f t="shared" ref="F17:M17" si="10">F12/F7</f>
        <v>0.8</v>
      </c>
      <c r="G17" s="54">
        <f>G11/G5</f>
        <v>2.5600000000000001E-2</v>
      </c>
      <c r="H17" s="54">
        <f>H11/H5</f>
        <v>5.5053763440860212E-3</v>
      </c>
      <c r="I17" s="54">
        <f>I11/I5</f>
        <v>2.8683473389355743E-2</v>
      </c>
      <c r="J17" s="54">
        <f>J11/J5</f>
        <v>1.2355957767722473E-2</v>
      </c>
      <c r="K17" s="54" t="e">
        <f t="shared" si="10"/>
        <v>#DIV/0!</v>
      </c>
      <c r="L17" s="54" t="e">
        <f t="shared" si="10"/>
        <v>#DIV/0!</v>
      </c>
      <c r="M17" s="54" t="e">
        <f t="shared" si="10"/>
        <v>#DIV/0!</v>
      </c>
    </row>
    <row r="18" spans="1:13">
      <c r="A18" s="50" t="s">
        <v>360</v>
      </c>
      <c r="B18" s="50" t="s">
        <v>348</v>
      </c>
      <c r="C18" s="52">
        <f>C11/C3</f>
        <v>4.4444444444444446E-2</v>
      </c>
      <c r="D18" s="54">
        <f>D11/D3</f>
        <v>4.4444444444444446E-2</v>
      </c>
      <c r="E18" s="54">
        <f>E11/E3</f>
        <v>1638.4</v>
      </c>
      <c r="F18" s="54"/>
      <c r="G18" s="54">
        <f>G11/G3</f>
        <v>0.02</v>
      </c>
      <c r="H18" s="54">
        <f>H11/H3</f>
        <v>4.3010752688172043E-3</v>
      </c>
      <c r="I18" s="54">
        <f>I11/I3</f>
        <v>2.8571428571428571E-2</v>
      </c>
      <c r="J18" s="54">
        <f>J11/J3</f>
        <v>1.2307692307692308E-2</v>
      </c>
      <c r="K18" s="54"/>
      <c r="L18" s="54"/>
      <c r="M18" s="54"/>
    </row>
    <row r="19" spans="1:13">
      <c r="F19" s="53" t="s">
        <v>316</v>
      </c>
    </row>
    <row r="20" spans="1:13">
      <c r="F20" s="53" t="s">
        <v>317</v>
      </c>
    </row>
    <row r="21" spans="1:13">
      <c r="F21" s="53"/>
    </row>
    <row r="22" spans="1:13">
      <c r="A22" s="49" t="s">
        <v>321</v>
      </c>
    </row>
    <row r="23" spans="1:13">
      <c r="A23" s="48" t="s">
        <v>318</v>
      </c>
    </row>
    <row r="24" spans="1:13">
      <c r="A24" s="48" t="s">
        <v>319</v>
      </c>
    </row>
    <row r="25" spans="1:13">
      <c r="A25" s="48" t="s">
        <v>320</v>
      </c>
    </row>
    <row r="28" spans="1:13">
      <c r="A28" s="37" t="s">
        <v>327</v>
      </c>
    </row>
    <row r="29" spans="1:13">
      <c r="A29" s="37" t="s">
        <v>328</v>
      </c>
    </row>
    <row r="30" spans="1:13">
      <c r="A30" s="37" t="s">
        <v>329</v>
      </c>
    </row>
    <row r="31" spans="1:13">
      <c r="A31" s="37" t="s">
        <v>330</v>
      </c>
    </row>
    <row r="32" spans="1:13">
      <c r="A32" s="37" t="s">
        <v>331</v>
      </c>
    </row>
    <row r="33" spans="1:1">
      <c r="A33" s="37" t="s">
        <v>332</v>
      </c>
    </row>
    <row r="34" spans="1:1">
      <c r="A34" s="48"/>
    </row>
    <row r="36" spans="1:1">
      <c r="A36" s="37" t="s">
        <v>335</v>
      </c>
    </row>
    <row r="37" spans="1:1">
      <c r="A37" s="37"/>
    </row>
    <row r="38" spans="1:1">
      <c r="A38" s="37" t="s">
        <v>336</v>
      </c>
    </row>
    <row r="39" spans="1:1">
      <c r="A39" s="37" t="s">
        <v>337</v>
      </c>
    </row>
    <row r="40" spans="1:1">
      <c r="A40" s="48"/>
    </row>
  </sheetData>
  <mergeCells count="1">
    <mergeCell ref="A3: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FD42-AFEA-3047-A35D-4FAC585D45B8}">
  <dimension ref="A1"/>
  <sheetViews>
    <sheetView workbookViewId="0">
      <selection activeCell="L1" sqref="L1"/>
    </sheetView>
  </sheetViews>
  <sheetFormatPr baseColWidth="10" defaultRowHeight="16"/>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DCD8-1DF7-5949-A0DB-BA236EEE1C85}">
  <dimension ref="A1:D21"/>
  <sheetViews>
    <sheetView zoomScale="130" zoomScaleNormal="130" workbookViewId="0">
      <selection activeCell="C14" sqref="C14"/>
    </sheetView>
  </sheetViews>
  <sheetFormatPr baseColWidth="10" defaultRowHeight="16"/>
  <cols>
    <col min="1" max="1" width="16.6640625" style="1" customWidth="1"/>
    <col min="2" max="2" width="13" style="1" customWidth="1"/>
    <col min="3" max="3" width="13" style="2" customWidth="1"/>
    <col min="4" max="4" width="14.6640625" style="2" customWidth="1"/>
    <col min="5" max="16384" width="10.83203125" style="1"/>
  </cols>
  <sheetData>
    <row r="1" spans="1:4">
      <c r="C1" s="2" t="s">
        <v>389</v>
      </c>
      <c r="D1" s="2" t="s">
        <v>361</v>
      </c>
    </row>
    <row r="2" spans="1:4">
      <c r="A2" s="1" t="s">
        <v>386</v>
      </c>
      <c r="C2" s="2" t="s">
        <v>387</v>
      </c>
      <c r="D2" s="2" t="s">
        <v>390</v>
      </c>
    </row>
    <row r="3" spans="1:4">
      <c r="A3" s="1" t="s">
        <v>362</v>
      </c>
      <c r="B3" s="1" t="s">
        <v>1</v>
      </c>
      <c r="C3" s="2">
        <v>8</v>
      </c>
      <c r="D3" s="2">
        <v>1</v>
      </c>
    </row>
    <row r="4" spans="1:4" ht="19">
      <c r="A4" s="1" t="s">
        <v>363</v>
      </c>
      <c r="B4" s="1" t="s">
        <v>3</v>
      </c>
      <c r="C4" s="2">
        <v>42.13</v>
      </c>
      <c r="D4" s="2">
        <v>77</v>
      </c>
    </row>
    <row r="5" spans="1:4" ht="19">
      <c r="A5" s="1" t="s">
        <v>4</v>
      </c>
      <c r="B5" s="1" t="s">
        <v>82</v>
      </c>
      <c r="C5" s="5">
        <f>C3/C4</f>
        <v>0.18988844054118204</v>
      </c>
      <c r="D5" s="5">
        <f>D3/D4</f>
        <v>1.2987012987012988E-2</v>
      </c>
    </row>
    <row r="6" spans="1:4">
      <c r="A6" s="1" t="s">
        <v>364</v>
      </c>
      <c r="B6" s="1" t="s">
        <v>365</v>
      </c>
      <c r="C6" s="2">
        <v>4</v>
      </c>
      <c r="D6" s="2">
        <v>128</v>
      </c>
    </row>
    <row r="7" spans="1:4">
      <c r="A7" s="1" t="s">
        <v>5</v>
      </c>
      <c r="B7" s="1" t="s">
        <v>367</v>
      </c>
      <c r="C7" s="2">
        <f>C3*2^10/C6</f>
        <v>2048</v>
      </c>
      <c r="D7" s="2">
        <f>D3*2^10/D6</f>
        <v>8</v>
      </c>
    </row>
    <row r="8" spans="1:4" ht="19">
      <c r="A8" s="1" t="s">
        <v>366</v>
      </c>
      <c r="B8" s="1" t="s">
        <v>368</v>
      </c>
      <c r="C8" s="5">
        <f>C4/C6</f>
        <v>10.532500000000001</v>
      </c>
      <c r="D8" s="5">
        <f>D4/D6</f>
        <v>0.6015625</v>
      </c>
    </row>
    <row r="9" spans="1:4">
      <c r="A9" s="1" t="s">
        <v>369</v>
      </c>
      <c r="B9" s="1" t="s">
        <v>370</v>
      </c>
      <c r="C9" s="2">
        <v>4</v>
      </c>
      <c r="D9" s="2">
        <v>4</v>
      </c>
    </row>
    <row r="10" spans="1:4">
      <c r="A10" s="1" t="s">
        <v>9</v>
      </c>
      <c r="B10" s="1" t="s">
        <v>371</v>
      </c>
      <c r="C10" s="2">
        <f>C7/C9</f>
        <v>512</v>
      </c>
      <c r="D10" s="2">
        <f>D7/D9</f>
        <v>2</v>
      </c>
    </row>
    <row r="11" spans="1:4">
      <c r="A11" s="1" t="s">
        <v>372</v>
      </c>
      <c r="B11" s="1" t="s">
        <v>373</v>
      </c>
      <c r="C11" s="2">
        <v>8</v>
      </c>
      <c r="D11" s="2">
        <v>8</v>
      </c>
    </row>
    <row r="12" spans="1:4">
      <c r="A12" s="1" t="s">
        <v>374</v>
      </c>
      <c r="B12" s="1" t="s">
        <v>375</v>
      </c>
      <c r="C12" s="2">
        <f>C10/C11*2^10</f>
        <v>65536</v>
      </c>
      <c r="D12" s="2">
        <f>D10/D11*2^10</f>
        <v>256</v>
      </c>
    </row>
    <row r="13" spans="1:4">
      <c r="A13" s="1" t="s">
        <v>376</v>
      </c>
      <c r="B13" s="1" t="s">
        <v>377</v>
      </c>
      <c r="C13" s="2">
        <v>64</v>
      </c>
      <c r="D13" s="2">
        <v>4</v>
      </c>
    </row>
    <row r="14" spans="1:4">
      <c r="A14" s="1" t="s">
        <v>388</v>
      </c>
      <c r="B14" s="1" t="s">
        <v>378</v>
      </c>
      <c r="C14" s="2">
        <f>C12/C13</f>
        <v>1024</v>
      </c>
      <c r="D14" s="2">
        <f>D12/D13</f>
        <v>64</v>
      </c>
    </row>
    <row r="15" spans="1:4">
      <c r="A15" s="1" t="s">
        <v>380</v>
      </c>
      <c r="B15" s="1" t="s">
        <v>379</v>
      </c>
      <c r="C15" s="2">
        <v>1024</v>
      </c>
      <c r="D15" s="2">
        <f>128</f>
        <v>128</v>
      </c>
    </row>
    <row r="16" spans="1:4">
      <c r="A16" s="1" t="s">
        <v>381</v>
      </c>
      <c r="B16" s="1" t="s">
        <v>379</v>
      </c>
      <c r="C16" s="2">
        <f>C14*2^10/C15</f>
        <v>1024</v>
      </c>
      <c r="D16" s="2">
        <f>D14*2^10/D15</f>
        <v>512</v>
      </c>
    </row>
    <row r="17" spans="1:4">
      <c r="A17" s="1" t="s">
        <v>382</v>
      </c>
      <c r="B17" s="1" t="s">
        <v>383</v>
      </c>
      <c r="C17" s="2">
        <f>C16*2*C9</f>
        <v>8192</v>
      </c>
      <c r="D17" s="2">
        <f>D16*2*D9</f>
        <v>4096</v>
      </c>
    </row>
    <row r="18" spans="1:4">
      <c r="A18" s="1" t="s">
        <v>384</v>
      </c>
      <c r="B18" s="1" t="s">
        <v>22</v>
      </c>
      <c r="C18" s="2">
        <v>256</v>
      </c>
      <c r="D18" s="2">
        <v>8</v>
      </c>
    </row>
    <row r="19" spans="1:4">
      <c r="A19" s="1" t="s">
        <v>385</v>
      </c>
      <c r="B19" s="1" t="s">
        <v>383</v>
      </c>
      <c r="C19" s="2">
        <f>C17/C18</f>
        <v>32</v>
      </c>
      <c r="D19" s="2">
        <f>D17/D18</f>
        <v>512</v>
      </c>
    </row>
    <row r="21" spans="1:4">
      <c r="C21" s="2"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FFCD-91B0-0144-894A-50E37662C825}">
  <dimension ref="A1:T28"/>
  <sheetViews>
    <sheetView zoomScale="130" zoomScaleNormal="130" workbookViewId="0">
      <selection activeCell="A30" sqref="A30"/>
    </sheetView>
  </sheetViews>
  <sheetFormatPr baseColWidth="10" defaultRowHeight="16"/>
  <cols>
    <col min="1" max="1" width="14.6640625" bestFit="1" customWidth="1"/>
    <col min="2" max="7" width="10.83203125" style="2"/>
    <col min="8" max="8" width="10.83203125" style="2" customWidth="1"/>
    <col min="9" max="9" width="10.83203125" style="2"/>
    <col min="10" max="10" width="10.83203125" style="2" customWidth="1"/>
    <col min="11" max="11" width="10.83203125" style="59" customWidth="1"/>
    <col min="12" max="13" width="10.83203125" style="2" customWidth="1"/>
    <col min="14" max="18" width="10.83203125" style="2"/>
    <col min="19" max="19" width="10.83203125" style="59"/>
  </cols>
  <sheetData>
    <row r="1" spans="1:20" ht="34">
      <c r="B1" s="2" t="s">
        <v>0</v>
      </c>
      <c r="C1" s="2" t="s">
        <v>4</v>
      </c>
      <c r="D1" s="2" t="s">
        <v>392</v>
      </c>
      <c r="E1" s="2" t="s">
        <v>393</v>
      </c>
      <c r="F1" s="2" t="s">
        <v>394</v>
      </c>
      <c r="G1" s="2" t="s">
        <v>395</v>
      </c>
      <c r="H1" s="2" t="s">
        <v>399</v>
      </c>
      <c r="I1" s="2" t="s">
        <v>396</v>
      </c>
      <c r="J1" s="9" t="s">
        <v>410</v>
      </c>
      <c r="K1" s="2" t="s">
        <v>407</v>
      </c>
      <c r="L1" s="9" t="s">
        <v>411</v>
      </c>
      <c r="M1" s="2" t="s">
        <v>400</v>
      </c>
      <c r="N1" s="2" t="s">
        <v>401</v>
      </c>
      <c r="O1" s="2" t="s">
        <v>238</v>
      </c>
      <c r="P1" s="2" t="s">
        <v>402</v>
      </c>
      <c r="Q1" s="2" t="s">
        <v>403</v>
      </c>
      <c r="R1" s="2" t="s">
        <v>406</v>
      </c>
      <c r="S1" s="2" t="s">
        <v>407</v>
      </c>
    </row>
    <row r="2" spans="1:20" ht="19">
      <c r="B2" s="2" t="s">
        <v>1</v>
      </c>
      <c r="C2" s="2" t="s">
        <v>404</v>
      </c>
      <c r="D2" s="2" t="s">
        <v>397</v>
      </c>
      <c r="E2" s="2" t="s">
        <v>397</v>
      </c>
      <c r="F2" s="2" t="s">
        <v>398</v>
      </c>
      <c r="G2" s="2" t="s">
        <v>398</v>
      </c>
      <c r="H2" s="2" t="s">
        <v>3</v>
      </c>
      <c r="I2" s="2" t="s">
        <v>3</v>
      </c>
      <c r="J2" s="2" t="s">
        <v>397</v>
      </c>
      <c r="K2" s="59" t="s">
        <v>408</v>
      </c>
      <c r="L2" s="2" t="s">
        <v>191</v>
      </c>
      <c r="M2" s="2" t="s">
        <v>29</v>
      </c>
      <c r="N2" s="2" t="s">
        <v>191</v>
      </c>
      <c r="O2" s="2" t="s">
        <v>405</v>
      </c>
      <c r="Q2" s="2" t="s">
        <v>404</v>
      </c>
      <c r="S2" s="59" t="s">
        <v>408</v>
      </c>
    </row>
    <row r="3" spans="1:20">
      <c r="A3" t="s">
        <v>409</v>
      </c>
      <c r="B3" s="2">
        <v>8</v>
      </c>
      <c r="C3" s="16">
        <f>B3/8/H3</f>
        <v>2.5000000000000001E-2</v>
      </c>
      <c r="D3" s="2">
        <v>5</v>
      </c>
      <c r="E3" s="2">
        <f>H3/D3</f>
        <v>8</v>
      </c>
      <c r="F3" s="2">
        <v>100</v>
      </c>
      <c r="G3" s="2">
        <v>100</v>
      </c>
      <c r="H3" s="2">
        <v>40</v>
      </c>
      <c r="I3" s="15">
        <f>(D3+F3/1000)*(E3+G3/1000)</f>
        <v>41.309999999999995</v>
      </c>
      <c r="J3" s="2">
        <v>3</v>
      </c>
      <c r="K3" s="59">
        <v>300</v>
      </c>
      <c r="L3" s="7">
        <f>(S3-2*J3)*3.14159*((S3-2*J3)/4/I3-1/SQRT(2*I3))</f>
        <v>1541.7317179359823</v>
      </c>
      <c r="M3" s="2">
        <v>80</v>
      </c>
      <c r="N3" s="2">
        <f>_xlfn.FLOOR.MATH(L3*M3/100,1,1)</f>
        <v>1233</v>
      </c>
      <c r="O3" s="57">
        <v>2000</v>
      </c>
      <c r="P3" s="58">
        <f>O3/N3</f>
        <v>1.6220600162206003</v>
      </c>
      <c r="Q3" s="2">
        <f>B3/8/H3</f>
        <v>2.5000000000000001E-2</v>
      </c>
      <c r="R3" s="58">
        <f>O3/N3/B3*8</f>
        <v>1.6220600162206003</v>
      </c>
      <c r="S3" s="59">
        <v>300</v>
      </c>
    </row>
    <row r="4" spans="1:20">
      <c r="C4" s="16"/>
      <c r="I4" s="15"/>
      <c r="L4" s="7"/>
      <c r="O4" s="57"/>
      <c r="P4" s="58"/>
      <c r="R4" s="58"/>
    </row>
    <row r="5" spans="1:20">
      <c r="A5" t="s">
        <v>412</v>
      </c>
      <c r="B5" s="2">
        <v>16</v>
      </c>
      <c r="C5" s="16">
        <f>B5/8/H5</f>
        <v>3.3333333333333333E-2</v>
      </c>
      <c r="D5" s="2">
        <v>8</v>
      </c>
      <c r="E5" s="15">
        <f>H5/D5</f>
        <v>7.5</v>
      </c>
      <c r="F5" s="2">
        <v>100</v>
      </c>
      <c r="G5" s="2">
        <v>100</v>
      </c>
      <c r="H5" s="2">
        <v>60</v>
      </c>
      <c r="I5" s="15">
        <f>(D5+F5/1000)*(E5+G5/1000)</f>
        <v>61.559999999999995</v>
      </c>
      <c r="J5" s="2">
        <v>3</v>
      </c>
      <c r="K5" s="59">
        <v>300</v>
      </c>
      <c r="L5" s="7">
        <f>(S5-2*J5)*3.14159*((S5-2*J5)/4/I5-1/SQRT(2*I5))</f>
        <v>1019.5314890650487</v>
      </c>
      <c r="M5" s="2">
        <v>90</v>
      </c>
      <c r="N5" s="2">
        <f>_xlfn.FLOOR.MATH(L5*M5/100,1,1)</f>
        <v>917</v>
      </c>
      <c r="O5" s="57">
        <v>3000</v>
      </c>
      <c r="P5" s="58">
        <f>O5/N5</f>
        <v>3.2715376226826609</v>
      </c>
      <c r="Q5" s="2">
        <f>B5/8/H5</f>
        <v>3.3333333333333333E-2</v>
      </c>
      <c r="R5" s="58">
        <f>O5/N5/B5*8</f>
        <v>1.6357688113413305</v>
      </c>
      <c r="S5" s="59">
        <v>300</v>
      </c>
    </row>
    <row r="6" spans="1:20">
      <c r="C6" s="16"/>
      <c r="I6" s="15"/>
      <c r="L6" s="7"/>
      <c r="O6" s="57"/>
      <c r="P6" s="58"/>
      <c r="R6" s="58"/>
    </row>
    <row r="7" spans="1:20">
      <c r="A7" t="s">
        <v>413</v>
      </c>
      <c r="B7" s="2">
        <v>12</v>
      </c>
      <c r="C7" s="16">
        <f>B7/8/H7</f>
        <v>3.4883720930232558E-2</v>
      </c>
      <c r="D7" s="2">
        <v>5</v>
      </c>
      <c r="E7" s="15">
        <f>H7/D7</f>
        <v>8.6</v>
      </c>
      <c r="F7" s="2">
        <v>100</v>
      </c>
      <c r="G7" s="2">
        <v>100</v>
      </c>
      <c r="H7" s="2">
        <v>43</v>
      </c>
      <c r="I7" s="15">
        <f>(D7+F7/1000)*(E7+G7/1000)</f>
        <v>44.36999999999999</v>
      </c>
      <c r="J7" s="2">
        <v>3</v>
      </c>
      <c r="K7" s="59">
        <v>300</v>
      </c>
      <c r="L7" s="7">
        <f>(S7-2*J7)*3.14159*((S7-2*J7)/4/I7-1/SQRT(2*I7))</f>
        <v>1431.9640461941226</v>
      </c>
      <c r="M7" s="2">
        <v>90</v>
      </c>
      <c r="N7" s="2">
        <f>_xlfn.FLOOR.MATH(L7*M7/100,1,1)</f>
        <v>1288</v>
      </c>
      <c r="O7" s="57">
        <v>3000</v>
      </c>
      <c r="P7" s="58">
        <f>O7/N7</f>
        <v>2.329192546583851</v>
      </c>
      <c r="Q7" s="2">
        <f>B7/8/H7</f>
        <v>3.4883720930232558E-2</v>
      </c>
      <c r="R7" s="58">
        <f>O7/N7/B7*8</f>
        <v>1.5527950310559007</v>
      </c>
      <c r="S7" s="59">
        <v>300</v>
      </c>
    </row>
    <row r="8" spans="1:20">
      <c r="C8" s="16"/>
      <c r="I8" s="15"/>
      <c r="L8" s="7"/>
      <c r="O8" s="57"/>
      <c r="P8" s="58"/>
      <c r="R8" s="58"/>
    </row>
    <row r="9" spans="1:20">
      <c r="A9" t="s">
        <v>414</v>
      </c>
      <c r="B9" s="2">
        <v>16</v>
      </c>
      <c r="C9" s="16">
        <f>B9/8/H9</f>
        <v>1.8181818181818181E-2</v>
      </c>
      <c r="D9" s="2">
        <v>10</v>
      </c>
      <c r="E9" s="15">
        <f>H9/D9</f>
        <v>11</v>
      </c>
      <c r="F9" s="2">
        <v>100</v>
      </c>
      <c r="G9" s="2">
        <v>100</v>
      </c>
      <c r="H9" s="2">
        <v>110</v>
      </c>
      <c r="I9" s="15">
        <f>(D9+F9/1000)*(E9+G9/1000)</f>
        <v>112.11</v>
      </c>
      <c r="J9" s="2">
        <v>3</v>
      </c>
      <c r="K9" s="59">
        <v>300</v>
      </c>
      <c r="L9" s="7">
        <f>(S9-2*J9)*3.14159*((S9-2*J9)/4/I9-1/SQRT(2*I9))</f>
        <v>543.85362537917501</v>
      </c>
      <c r="M9" s="2">
        <v>90</v>
      </c>
      <c r="N9" s="2">
        <f>_xlfn.FLOOR.MATH(L9*M9/100,1,1)</f>
        <v>489</v>
      </c>
      <c r="O9" s="57">
        <v>6000</v>
      </c>
      <c r="P9" s="58">
        <f>O9/N9</f>
        <v>12.269938650306749</v>
      </c>
      <c r="Q9" s="2">
        <f>B9/8/H9</f>
        <v>1.8181818181818181E-2</v>
      </c>
      <c r="R9" s="58">
        <f>O9/N9/B9*8</f>
        <v>6.1349693251533743</v>
      </c>
      <c r="S9" s="59">
        <v>300</v>
      </c>
    </row>
    <row r="10" spans="1:20">
      <c r="C10" s="16"/>
      <c r="I10" s="15"/>
      <c r="L10" s="7"/>
      <c r="O10" s="57"/>
      <c r="P10" s="58"/>
      <c r="R10" s="58"/>
    </row>
    <row r="11" spans="1:20">
      <c r="A11" t="s">
        <v>415</v>
      </c>
      <c r="B11" s="2">
        <v>16</v>
      </c>
      <c r="C11" s="16">
        <f>B11/8/H11</f>
        <v>1.6528925619834711E-2</v>
      </c>
      <c r="D11" s="2">
        <v>11</v>
      </c>
      <c r="E11" s="15">
        <f>H11/D11</f>
        <v>11</v>
      </c>
      <c r="F11" s="2">
        <v>100</v>
      </c>
      <c r="G11" s="2">
        <v>100</v>
      </c>
      <c r="H11" s="2">
        <v>121</v>
      </c>
      <c r="I11" s="15">
        <f>(D11+F11/1000)*(E11+G11/1000)</f>
        <v>123.21</v>
      </c>
      <c r="J11" s="2">
        <v>3</v>
      </c>
      <c r="K11" s="59">
        <v>300</v>
      </c>
      <c r="L11" s="7">
        <f>(S11-2*J11)*3.14159*((S11-2*J11)/4/I11-1/SQRT(2*I11))</f>
        <v>492.1448936219237</v>
      </c>
      <c r="M11" s="2">
        <v>90</v>
      </c>
      <c r="N11" s="2">
        <f>_xlfn.FLOOR.MATH(L11*M11/100,1,1)</f>
        <v>442</v>
      </c>
      <c r="O11" s="57">
        <v>5700</v>
      </c>
      <c r="P11" s="58">
        <f>O11/N11</f>
        <v>12.895927601809955</v>
      </c>
      <c r="Q11" s="2">
        <f>B11/8/H11</f>
        <v>1.6528925619834711E-2</v>
      </c>
      <c r="R11" s="58">
        <f>O11/N11/B11*8</f>
        <v>6.4479638009049776</v>
      </c>
      <c r="S11" s="59">
        <v>300</v>
      </c>
    </row>
    <row r="12" spans="1:20">
      <c r="C12" s="16"/>
      <c r="I12" s="15"/>
      <c r="L12" s="7"/>
      <c r="O12" s="57"/>
      <c r="P12" s="58"/>
      <c r="R12" s="58"/>
    </row>
    <row r="13" spans="1:20">
      <c r="A13" t="s">
        <v>416</v>
      </c>
      <c r="B13" s="2">
        <v>16</v>
      </c>
      <c r="C13" s="16">
        <f>B13/8/H13</f>
        <v>3.0303030303030304E-2</v>
      </c>
      <c r="D13" s="2">
        <v>8</v>
      </c>
      <c r="E13" s="15">
        <f>H13/D13</f>
        <v>8.25</v>
      </c>
      <c r="F13" s="2">
        <v>100</v>
      </c>
      <c r="G13" s="2">
        <v>100</v>
      </c>
      <c r="H13" s="2">
        <v>66</v>
      </c>
      <c r="I13" s="15">
        <f>(D13+F13/1000)*(E13+G13/1000)</f>
        <v>67.634999999999991</v>
      </c>
      <c r="J13" s="2">
        <v>3</v>
      </c>
      <c r="K13" s="59">
        <v>300</v>
      </c>
      <c r="L13" s="7">
        <f>(S13-2*J13)*3.14159*((S13-2*J13)/4/I13-1/SQRT(2*I13))</f>
        <v>924.30641743978697</v>
      </c>
      <c r="M13" s="2">
        <v>90</v>
      </c>
      <c r="N13" s="2">
        <f>_xlfn.FLOOR.MATH(L13*M13/100,1,1)</f>
        <v>831</v>
      </c>
      <c r="O13" s="57">
        <v>3000</v>
      </c>
      <c r="P13" s="58">
        <f>O13/N13</f>
        <v>3.6101083032490973</v>
      </c>
      <c r="Q13" s="2">
        <f>B13/8/H13</f>
        <v>3.0303030303030304E-2</v>
      </c>
      <c r="R13" s="58">
        <f>O13/N13/B13*8</f>
        <v>1.8050541516245486</v>
      </c>
      <c r="S13" s="59">
        <v>300</v>
      </c>
      <c r="T13" t="s">
        <v>122</v>
      </c>
    </row>
    <row r="14" spans="1:20">
      <c r="C14" s="16"/>
      <c r="E14" s="15"/>
      <c r="I14" s="15"/>
      <c r="L14" s="7"/>
      <c r="O14" s="57"/>
      <c r="P14" s="58"/>
      <c r="R14" s="58"/>
    </row>
    <row r="15" spans="1:20">
      <c r="A15" t="s">
        <v>426</v>
      </c>
      <c r="C15" s="16"/>
      <c r="I15" s="15"/>
      <c r="L15" s="7"/>
      <c r="O15" s="57"/>
      <c r="P15" s="58"/>
      <c r="R15" s="58"/>
    </row>
    <row r="16" spans="1:20">
      <c r="A16" t="s">
        <v>417</v>
      </c>
      <c r="B16" s="2">
        <v>2</v>
      </c>
      <c r="C16" s="16">
        <f>B16/8/H16</f>
        <v>4.5454545454545452E-3</v>
      </c>
      <c r="D16" s="2">
        <v>7</v>
      </c>
      <c r="E16" s="15">
        <f>H16/D16</f>
        <v>7.8571428571428568</v>
      </c>
      <c r="F16" s="2">
        <v>100</v>
      </c>
      <c r="G16" s="2">
        <v>100</v>
      </c>
      <c r="H16" s="2">
        <v>55</v>
      </c>
      <c r="I16" s="15">
        <f>(D16+F16/1000)*(E16+G16/1000)</f>
        <v>56.495714285714278</v>
      </c>
      <c r="J16" s="2">
        <v>3</v>
      </c>
      <c r="K16" s="59">
        <v>300</v>
      </c>
      <c r="L16" s="7">
        <f>(S16-2*J16)*3.14159*((S16-2*J16)/4/I16-1/SQRT(2*I16))</f>
        <v>1114.7333564887233</v>
      </c>
      <c r="M16" s="2">
        <v>90</v>
      </c>
      <c r="N16" s="2">
        <f>_xlfn.FLOOR.MATH(L16*M16/100,1,1)</f>
        <v>1003</v>
      </c>
      <c r="O16" s="57">
        <v>3000</v>
      </c>
      <c r="P16" s="58">
        <f>O16/N16</f>
        <v>2.9910269192422732</v>
      </c>
      <c r="Q16" s="16">
        <f>B16/8/H16</f>
        <v>4.5454545454545452E-3</v>
      </c>
      <c r="R16" s="58">
        <f>O16/N16/B16*8</f>
        <v>11.964107676969093</v>
      </c>
      <c r="S16" s="59">
        <v>300</v>
      </c>
    </row>
    <row r="17" spans="1:19">
      <c r="A17" t="s">
        <v>418</v>
      </c>
      <c r="B17" s="2">
        <v>4</v>
      </c>
      <c r="C17" s="16">
        <f>B17/8/H17</f>
        <v>7.462686567164179E-3</v>
      </c>
      <c r="D17" s="2">
        <v>8</v>
      </c>
      <c r="E17" s="15">
        <f>H17/D17</f>
        <v>8.375</v>
      </c>
      <c r="F17" s="2">
        <v>100</v>
      </c>
      <c r="G17" s="2">
        <v>100</v>
      </c>
      <c r="H17" s="2">
        <v>67</v>
      </c>
      <c r="I17" s="15">
        <f>(D17+F17/1000)*(E17+G17/1000)</f>
        <v>68.647499999999994</v>
      </c>
      <c r="J17" s="2">
        <v>3</v>
      </c>
      <c r="K17" s="59">
        <v>300</v>
      </c>
      <c r="L17" s="7">
        <f>(S17-2*J17)*3.14159*((S17-2*J17)/4/I17-1/SQRT(2*I17))</f>
        <v>910.09010732013257</v>
      </c>
      <c r="M17" s="2">
        <v>90</v>
      </c>
      <c r="N17" s="2">
        <f>_xlfn.FLOOR.MATH(L17*M17/100,1,1)</f>
        <v>819</v>
      </c>
      <c r="O17" s="57">
        <v>3800</v>
      </c>
      <c r="P17" s="58">
        <f>O17/N17</f>
        <v>4.6398046398046402</v>
      </c>
      <c r="Q17" s="2">
        <f>B17/8/H17</f>
        <v>7.462686567164179E-3</v>
      </c>
      <c r="R17" s="58">
        <f>O17/N17/B17*8</f>
        <v>9.2796092796092804</v>
      </c>
      <c r="S17" s="59">
        <v>300</v>
      </c>
    </row>
    <row r="18" spans="1:19">
      <c r="C18" s="16"/>
      <c r="E18" s="15"/>
      <c r="I18" s="15"/>
      <c r="L18" s="7"/>
      <c r="O18" s="57"/>
      <c r="P18" s="58"/>
      <c r="R18" s="58"/>
    </row>
    <row r="19" spans="1:19">
      <c r="A19" t="s">
        <v>427</v>
      </c>
      <c r="C19" s="16"/>
      <c r="E19" s="15"/>
      <c r="I19" s="15"/>
      <c r="L19" s="7"/>
      <c r="O19" s="57"/>
      <c r="P19" s="58"/>
      <c r="R19" s="58"/>
    </row>
    <row r="20" spans="1:19">
      <c r="A20" t="s">
        <v>422</v>
      </c>
      <c r="B20" s="2">
        <v>256</v>
      </c>
      <c r="C20" s="16">
        <f>B20/8/H20</f>
        <v>0.16080402010050251</v>
      </c>
      <c r="D20" s="2">
        <v>13</v>
      </c>
      <c r="E20" s="15">
        <f>H20/D20</f>
        <v>15.307692307692308</v>
      </c>
      <c r="F20" s="2">
        <v>100</v>
      </c>
      <c r="G20" s="2">
        <v>100</v>
      </c>
      <c r="H20" s="2">
        <v>199</v>
      </c>
      <c r="I20" s="15">
        <f>(D20+F20/1000)*(E20+G20/1000)</f>
        <v>201.84076923076924</v>
      </c>
      <c r="J20" s="2">
        <v>3</v>
      </c>
      <c r="K20" s="59">
        <v>300</v>
      </c>
      <c r="L20" s="7">
        <f>(S20-2*J20)*3.14159*((S20-2*J20)/4/I20-1/SQRT(2*I20))</f>
        <v>290.36718727409789</v>
      </c>
      <c r="M20" s="2">
        <v>80</v>
      </c>
      <c r="N20" s="2">
        <f>_xlfn.FLOOR.MATH(L20*M20/100,1,1)</f>
        <v>232</v>
      </c>
      <c r="O20" s="57">
        <v>2400</v>
      </c>
      <c r="P20" s="58">
        <f>O20/N20</f>
        <v>10.344827586206897</v>
      </c>
      <c r="Q20" s="2">
        <f>B20/8/H20</f>
        <v>0.16080402010050251</v>
      </c>
      <c r="R20" s="60">
        <f>O20/N20/B20*8</f>
        <v>0.32327586206896552</v>
      </c>
      <c r="S20" s="59">
        <v>300</v>
      </c>
    </row>
    <row r="21" spans="1:19">
      <c r="A21" t="s">
        <v>421</v>
      </c>
      <c r="B21" s="2">
        <v>256</v>
      </c>
      <c r="C21" s="16">
        <f>B21/8/H21</f>
        <v>0.23880597014925373</v>
      </c>
      <c r="D21" s="2">
        <v>13</v>
      </c>
      <c r="E21" s="15">
        <f>H21/D21</f>
        <v>10.307692307692308</v>
      </c>
      <c r="F21" s="2">
        <v>100</v>
      </c>
      <c r="G21" s="2">
        <v>100</v>
      </c>
      <c r="H21" s="2">
        <v>134</v>
      </c>
      <c r="I21" s="15">
        <f>(D21+F21/1000)*(E21+G21/1000)</f>
        <v>136.34076923076924</v>
      </c>
      <c r="J21" s="2">
        <v>3</v>
      </c>
      <c r="K21" s="59">
        <v>300</v>
      </c>
      <c r="L21" s="7">
        <f>(S21-2*J21)*3.14159*((S21-2*J21)/4/I21-1/SQRT(2*I21))</f>
        <v>441.98558797627925</v>
      </c>
      <c r="M21" s="2">
        <v>80</v>
      </c>
      <c r="N21" s="2">
        <f>_xlfn.FLOOR.MATH(L21*M21/100,1,1)</f>
        <v>353</v>
      </c>
      <c r="O21" s="57">
        <v>2700</v>
      </c>
      <c r="P21" s="58">
        <f>O21/N21</f>
        <v>7.6487252124645888</v>
      </c>
      <c r="Q21" s="2">
        <f>B21/8/H21</f>
        <v>0.23880597014925373</v>
      </c>
      <c r="R21" s="60">
        <f>O21/N21/B21*8</f>
        <v>0.2390226628895184</v>
      </c>
      <c r="S21" s="59">
        <v>300</v>
      </c>
    </row>
    <row r="22" spans="1:19">
      <c r="A22" t="s">
        <v>419</v>
      </c>
      <c r="B22" s="2">
        <v>512</v>
      </c>
      <c r="C22" s="16">
        <f>B22/8/H22</f>
        <v>0.36571428571428571</v>
      </c>
      <c r="D22" s="2">
        <v>11</v>
      </c>
      <c r="E22" s="15">
        <f>H22/D22</f>
        <v>15.909090909090908</v>
      </c>
      <c r="F22" s="2">
        <v>100</v>
      </c>
      <c r="G22" s="2">
        <v>100</v>
      </c>
      <c r="H22" s="2">
        <v>175</v>
      </c>
      <c r="I22" s="15">
        <f>(D22+F22/1000)*(E22+G22/1000)</f>
        <v>177.70090909090908</v>
      </c>
      <c r="J22" s="2">
        <v>3</v>
      </c>
      <c r="K22" s="59">
        <v>300</v>
      </c>
      <c r="L22" s="7">
        <f>(S22-2*J22)*3.14159*((S22-2*J22)/4/I22-1/SQRT(2*I22))</f>
        <v>333.0340752473345</v>
      </c>
      <c r="M22" s="2">
        <v>80</v>
      </c>
      <c r="N22" s="2">
        <f>_xlfn.FLOOR.MATH(L22*M22/100,1,1)</f>
        <v>266</v>
      </c>
      <c r="O22" s="57">
        <v>3000</v>
      </c>
      <c r="P22" s="58">
        <f>O22/N22</f>
        <v>11.278195488721805</v>
      </c>
      <c r="Q22" s="2">
        <f>B22/8/H22</f>
        <v>0.36571428571428571</v>
      </c>
      <c r="R22" s="60">
        <f>O22/N22/B22*8</f>
        <v>0.1762218045112782</v>
      </c>
      <c r="S22" s="59">
        <v>300</v>
      </c>
    </row>
    <row r="23" spans="1:19">
      <c r="A23" t="s">
        <v>420</v>
      </c>
      <c r="B23" s="2">
        <v>256</v>
      </c>
      <c r="C23" s="16">
        <f>B23/8/H23</f>
        <v>0.33684210526315789</v>
      </c>
      <c r="D23" s="2">
        <v>9</v>
      </c>
      <c r="E23" s="15">
        <f>H23/D23</f>
        <v>10.555555555555555</v>
      </c>
      <c r="F23" s="2">
        <v>100</v>
      </c>
      <c r="G23" s="2">
        <v>100</v>
      </c>
      <c r="H23" s="2">
        <v>95</v>
      </c>
      <c r="I23" s="15">
        <f>(D23+F23/1000)*(E23+G23/1000)</f>
        <v>96.965555555555554</v>
      </c>
      <c r="J23" s="2">
        <v>3</v>
      </c>
      <c r="K23" s="59">
        <v>300</v>
      </c>
      <c r="L23" s="7">
        <f>(S23-2*J23)*3.14159*((S23-2*J23)/4/I23-1/SQRT(2*I23))</f>
        <v>633.78628798891282</v>
      </c>
      <c r="M23" s="2">
        <v>80</v>
      </c>
      <c r="N23" s="2">
        <f>_xlfn.FLOOR.MATH(L23*M23/100,1,1)</f>
        <v>507</v>
      </c>
      <c r="O23" s="57">
        <v>3000</v>
      </c>
      <c r="P23" s="58">
        <f>O23/N23</f>
        <v>5.9171597633136095</v>
      </c>
      <c r="Q23" s="2">
        <f>B23/8/H23</f>
        <v>0.33684210526315789</v>
      </c>
      <c r="R23" s="60">
        <f>O23/N23/B23*8</f>
        <v>0.1849112426035503</v>
      </c>
      <c r="S23" s="59">
        <v>300</v>
      </c>
    </row>
    <row r="25" spans="1:19" ht="19">
      <c r="A25" t="s">
        <v>428</v>
      </c>
    </row>
    <row r="26" spans="1:19">
      <c r="A26" t="s">
        <v>423</v>
      </c>
      <c r="B26" s="2">
        <v>8</v>
      </c>
      <c r="C26" s="16">
        <f>B26/8/H26</f>
        <v>2.5000000000000001E-2</v>
      </c>
      <c r="D26" s="2">
        <v>6</v>
      </c>
      <c r="E26" s="15">
        <f>H26/D26</f>
        <v>6.666666666666667</v>
      </c>
      <c r="F26" s="2">
        <v>100</v>
      </c>
      <c r="G26" s="2">
        <v>100</v>
      </c>
      <c r="H26" s="2">
        <v>40</v>
      </c>
      <c r="I26" s="15">
        <f>(D26+F26/1000)*(E26+G26/1000)</f>
        <v>41.276666666666664</v>
      </c>
      <c r="J26" s="2">
        <v>3</v>
      </c>
      <c r="K26" s="59">
        <v>300</v>
      </c>
      <c r="L26" s="7">
        <f>(S26-2*J26)*3.14159*((S26-2*J26)/4/I26-1/SQRT(2*I26))</f>
        <v>1543.0177948578439</v>
      </c>
      <c r="M26" s="2">
        <v>90</v>
      </c>
      <c r="N26" s="2">
        <f>_xlfn.FLOOR.MATH(L26*M26/100,1,1)</f>
        <v>1388</v>
      </c>
      <c r="O26" s="57">
        <v>2100</v>
      </c>
      <c r="P26" s="58">
        <f>O26/N26</f>
        <v>1.5129682997118155</v>
      </c>
      <c r="Q26" s="16">
        <f>B26/8/H26</f>
        <v>2.5000000000000001E-2</v>
      </c>
      <c r="R26" s="58">
        <f>O26/N26/B26*8</f>
        <v>1.5129682997118155</v>
      </c>
      <c r="S26" s="59">
        <v>300</v>
      </c>
    </row>
    <row r="27" spans="1:19">
      <c r="A27" t="s">
        <v>424</v>
      </c>
      <c r="B27" s="2">
        <v>16</v>
      </c>
      <c r="C27" s="16">
        <f>B27/8/H27</f>
        <v>0.05</v>
      </c>
      <c r="D27" s="2">
        <v>6</v>
      </c>
      <c r="E27" s="15">
        <f>H27/D27</f>
        <v>6.666666666666667</v>
      </c>
      <c r="F27" s="2">
        <v>100</v>
      </c>
      <c r="G27" s="2">
        <v>100</v>
      </c>
      <c r="H27" s="2">
        <v>40</v>
      </c>
      <c r="I27" s="15">
        <f>(D27+F27/1000)*(E27+G27/1000)</f>
        <v>41.276666666666664</v>
      </c>
      <c r="J27" s="2">
        <v>3</v>
      </c>
      <c r="K27" s="59">
        <v>300</v>
      </c>
      <c r="L27" s="7">
        <f>(S27-2*J27)*3.14159*((S27-2*J27)/4/I27-1/SQRT(2*I27))</f>
        <v>1543.0177948578439</v>
      </c>
      <c r="M27" s="2">
        <v>90</v>
      </c>
      <c r="N27" s="2">
        <f>_xlfn.FLOOR.MATH(L27*M27/100,1,1)</f>
        <v>1388</v>
      </c>
      <c r="O27" s="57">
        <v>3000</v>
      </c>
      <c r="P27" s="58">
        <f>O27/N27</f>
        <v>2.1613832853025938</v>
      </c>
      <c r="Q27" s="16">
        <f>B27/8/H27</f>
        <v>0.05</v>
      </c>
      <c r="R27" s="58">
        <f>O27/N27/B27*8</f>
        <v>1.0806916426512969</v>
      </c>
      <c r="S27" s="59">
        <v>300</v>
      </c>
    </row>
    <row r="28" spans="1:19">
      <c r="A28" t="s">
        <v>425</v>
      </c>
      <c r="B28" s="2">
        <v>32</v>
      </c>
      <c r="C28" s="16">
        <f>B28/8/H28</f>
        <v>0.1</v>
      </c>
      <c r="D28" s="2">
        <v>6</v>
      </c>
      <c r="E28" s="15">
        <f>H28/D28</f>
        <v>6.666666666666667</v>
      </c>
      <c r="F28" s="2">
        <v>100</v>
      </c>
      <c r="G28" s="2">
        <v>100</v>
      </c>
      <c r="H28" s="2">
        <v>40</v>
      </c>
      <c r="I28" s="15">
        <f>(D28+F28/1000)*(E28+G28/1000)</f>
        <v>41.276666666666664</v>
      </c>
      <c r="J28" s="2">
        <v>3</v>
      </c>
      <c r="K28" s="59">
        <v>300</v>
      </c>
      <c r="L28" s="7">
        <f>(S28-2*J28)*3.14159*((S28-2*J28)/4/I28-1/SQRT(2*I28))</f>
        <v>1543.0177948578439</v>
      </c>
      <c r="M28" s="2">
        <v>90</v>
      </c>
      <c r="N28" s="2">
        <f>_xlfn.FLOOR.MATH(L28*M28/100,1,1)</f>
        <v>1388</v>
      </c>
      <c r="O28" s="57">
        <v>4800</v>
      </c>
      <c r="P28" s="58">
        <f>O28/N28</f>
        <v>3.4582132564841497</v>
      </c>
      <c r="Q28" s="16">
        <f>B28/8/H28</f>
        <v>0.1</v>
      </c>
      <c r="R28" s="58">
        <f>O28/N28/B28*8</f>
        <v>0.86455331412103742</v>
      </c>
      <c r="S28" s="59">
        <v>300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Array Organization</vt:lpstr>
      <vt:lpstr>Sheet1</vt:lpstr>
      <vt:lpstr>SAMSUNG CELL</vt:lpstr>
      <vt:lpstr>Sheet2</vt:lpstr>
      <vt:lpstr>DRAM $ BW tau</vt:lpstr>
      <vt:lpstr>Bank Metric</vt:lpstr>
      <vt:lpstr>P1271.3</vt:lpstr>
      <vt:lpstr>Component Metric</vt:lpstr>
      <vt:lpstr>Die Size estimate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keywords>CTPClassification=CTP_NT</cp:keywords>
  <cp:lastModifiedBy>Kau, Derchang</cp:lastModifiedBy>
  <dcterms:created xsi:type="dcterms:W3CDTF">2019-07-03T04:53:56Z</dcterms:created>
  <dcterms:modified xsi:type="dcterms:W3CDTF">2023-11-26T19:35:17Z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7ba251d4-1dcc-496a-b351-4bc22692f04a</vt:lpwstr>
  </property>
  <property fmtid="{D5CDD505-2E9C-101B-9397-08002B2CF9AE}" pid="3" name="CTP_TimeStamp">
    <vt:lpwstr>2019-07-30 17:04:29Z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ies>
</file>