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dkau/Documents/dck02/Tech &amp; Design/dram, edram, NAND/"/>
    </mc:Choice>
  </mc:AlternateContent>
  <xr:revisionPtr revIDLastSave="0" documentId="8_{E142DD8A-AFB0-1342-B0FC-ACB916EE7298}" xr6:coauthVersionLast="43" xr6:coauthVersionMax="43" xr10:uidLastSave="{00000000-0000-0000-0000-000000000000}"/>
  <bookViews>
    <workbookView xWindow="3380" yWindow="2040" windowWidth="17260" windowHeight="5920" tabRatio="777" activeTab="3" xr2:uid="{00000000-000D-0000-FFFF-FFFF00000000}"/>
  </bookViews>
  <sheets>
    <sheet name="Geometricals" sheetId="1" r:id="rId1"/>
    <sheet name="Electricals" sheetId="2" r:id="rId2"/>
    <sheet name="Array Construct" sheetId="6" r:id="rId3"/>
    <sheet name="BL metrics" sheetId="10" r:id="rId4"/>
    <sheet name="WL metrics" sheetId="9" r:id="rId5"/>
    <sheet name="COB" sheetId="7" r:id="rId6"/>
    <sheet name="FinFET" sheetId="3" r:id="rId7"/>
    <sheet name="CylGate - ChanWrap" sheetId="4" r:id="rId8"/>
    <sheet name="CylADM - GateWrap" sheetId="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10" l="1"/>
  <c r="K7" i="10"/>
  <c r="K10" i="10"/>
  <c r="K4" i="10"/>
  <c r="F10" i="10"/>
  <c r="F7" i="10"/>
  <c r="F4" i="10" l="1"/>
  <c r="E28" i="6"/>
  <c r="E13" i="6"/>
  <c r="E5" i="6"/>
  <c r="O13" i="2"/>
  <c r="D30" i="6" s="1"/>
  <c r="B13" i="6"/>
  <c r="C13" i="6"/>
  <c r="E15" i="6"/>
  <c r="B15" i="6"/>
  <c r="C15" i="6"/>
  <c r="H24" i="6"/>
  <c r="G24" i="6"/>
  <c r="L13" i="7"/>
  <c r="L10" i="7"/>
  <c r="L7" i="7"/>
  <c r="F13" i="7"/>
  <c r="F10" i="7"/>
  <c r="F7" i="7"/>
  <c r="F4" i="7"/>
  <c r="L4" i="7"/>
  <c r="H13" i="2"/>
  <c r="H10" i="2"/>
  <c r="H7" i="2"/>
  <c r="H4" i="2"/>
  <c r="R13" i="10"/>
  <c r="R10" i="10"/>
  <c r="R7" i="10"/>
  <c r="R4" i="10"/>
  <c r="O13" i="10"/>
  <c r="O10" i="10"/>
  <c r="O7" i="10"/>
  <c r="O4" i="10"/>
  <c r="N13" i="10"/>
  <c r="N10" i="10"/>
  <c r="N7" i="10"/>
  <c r="N4" i="10"/>
  <c r="D5" i="6"/>
  <c r="L13" i="9"/>
  <c r="L10" i="9"/>
  <c r="L7" i="9"/>
  <c r="L4" i="9"/>
  <c r="C13" i="2"/>
  <c r="D24" i="6" s="1"/>
  <c r="I13" i="2"/>
  <c r="F13" i="2"/>
  <c r="J13" i="2" s="1"/>
  <c r="G13" i="9" s="1"/>
  <c r="K13" i="1"/>
  <c r="M13" i="1" s="1"/>
  <c r="L13" i="1"/>
  <c r="N13" i="1" s="1"/>
  <c r="H13" i="9" l="1"/>
  <c r="J13" i="9" s="1"/>
  <c r="E13" i="10"/>
  <c r="F13" i="9"/>
  <c r="I13" i="7"/>
  <c r="J13" i="10"/>
  <c r="H13" i="7"/>
  <c r="J13" i="7" s="1"/>
  <c r="K13" i="7" s="1"/>
  <c r="D3" i="6"/>
  <c r="H13" i="10"/>
  <c r="S13" i="2"/>
  <c r="I13" i="10" s="1"/>
  <c r="N13" i="2"/>
  <c r="D28" i="6" s="1"/>
  <c r="L13" i="2"/>
  <c r="P13" i="2" s="1"/>
  <c r="D17" i="6" s="1"/>
  <c r="D26" i="6"/>
  <c r="G13" i="2"/>
  <c r="D13" i="6"/>
  <c r="O13" i="1"/>
  <c r="C43" i="6"/>
  <c r="C37" i="6" s="1"/>
  <c r="E43" i="6"/>
  <c r="L13" i="10" l="1"/>
  <c r="D15" i="6" s="1"/>
  <c r="P13" i="10"/>
  <c r="Q13" i="2"/>
  <c r="W13" i="10"/>
  <c r="V13" i="10"/>
  <c r="D21" i="6" s="1"/>
  <c r="Q13" i="10"/>
  <c r="E37" i="6"/>
  <c r="C28" i="6"/>
  <c r="C17" i="6"/>
  <c r="B28" i="6"/>
  <c r="B17" i="6"/>
  <c r="O10" i="2" l="1"/>
  <c r="F7" i="2"/>
  <c r="G26" i="6" s="1"/>
  <c r="I5" i="3"/>
  <c r="J5" i="3" s="1"/>
  <c r="H5" i="3"/>
  <c r="K5" i="3" s="1"/>
  <c r="J3" i="5"/>
  <c r="J4" i="5"/>
  <c r="J5" i="5"/>
  <c r="J6" i="5"/>
  <c r="J7" i="5"/>
  <c r="J8" i="5"/>
  <c r="J9" i="5"/>
  <c r="J10" i="5"/>
  <c r="J11" i="5"/>
  <c r="J12" i="5"/>
  <c r="J13" i="5"/>
  <c r="J2" i="5"/>
  <c r="H3" i="5"/>
  <c r="L3" i="5" s="1"/>
  <c r="M3" i="5" s="1"/>
  <c r="Q3" i="5" s="1"/>
  <c r="H4" i="5"/>
  <c r="L4" i="5" s="1"/>
  <c r="M4" i="5" s="1"/>
  <c r="Q4" i="5" s="1"/>
  <c r="H2" i="5"/>
  <c r="L2" i="5" s="1"/>
  <c r="M2" i="5" s="1"/>
  <c r="Q2" i="5" s="1"/>
  <c r="L13" i="5"/>
  <c r="M13" i="5" s="1"/>
  <c r="Q13" i="5" s="1"/>
  <c r="K13" i="5"/>
  <c r="N13" i="5" s="1"/>
  <c r="O13" i="5" s="1"/>
  <c r="L12" i="5"/>
  <c r="M12" i="5" s="1"/>
  <c r="Q12" i="5" s="1"/>
  <c r="K12" i="5"/>
  <c r="N12" i="5" s="1"/>
  <c r="O12" i="5" s="1"/>
  <c r="L11" i="5"/>
  <c r="M11" i="5" s="1"/>
  <c r="Q11" i="5" s="1"/>
  <c r="K11" i="5"/>
  <c r="N11" i="5" s="1"/>
  <c r="M10" i="5"/>
  <c r="Q10" i="5" s="1"/>
  <c r="L10" i="5"/>
  <c r="K10" i="5"/>
  <c r="N10" i="5" s="1"/>
  <c r="O10" i="5" s="1"/>
  <c r="L9" i="5"/>
  <c r="M9" i="5" s="1"/>
  <c r="Q9" i="5" s="1"/>
  <c r="K9" i="5"/>
  <c r="N9" i="5" s="1"/>
  <c r="O9" i="5" s="1"/>
  <c r="L8" i="5"/>
  <c r="M8" i="5" s="1"/>
  <c r="Q8" i="5" s="1"/>
  <c r="K8" i="5"/>
  <c r="N8" i="5" s="1"/>
  <c r="L7" i="5"/>
  <c r="M7" i="5" s="1"/>
  <c r="Q7" i="5" s="1"/>
  <c r="K7" i="5"/>
  <c r="N7" i="5" s="1"/>
  <c r="L6" i="5"/>
  <c r="M6" i="5" s="1"/>
  <c r="Q6" i="5" s="1"/>
  <c r="K6" i="5"/>
  <c r="N6" i="5" s="1"/>
  <c r="L5" i="5"/>
  <c r="M5" i="5" s="1"/>
  <c r="K5" i="5"/>
  <c r="N5" i="5" s="1"/>
  <c r="K4" i="5"/>
  <c r="N4" i="5" s="1"/>
  <c r="K3" i="5"/>
  <c r="N3" i="5" s="1"/>
  <c r="K2" i="5"/>
  <c r="N2" i="5" s="1"/>
  <c r="C3" i="4"/>
  <c r="K3" i="4" s="1"/>
  <c r="N3" i="4" s="1"/>
  <c r="C4" i="4"/>
  <c r="K4" i="4" s="1"/>
  <c r="N4" i="4" s="1"/>
  <c r="C5" i="4"/>
  <c r="C6" i="4"/>
  <c r="C7" i="4"/>
  <c r="K7" i="4" s="1"/>
  <c r="N7" i="4" s="1"/>
  <c r="O7" i="4" s="1"/>
  <c r="C2" i="4"/>
  <c r="I3" i="4"/>
  <c r="I4" i="4"/>
  <c r="I5" i="4"/>
  <c r="I6" i="4"/>
  <c r="I7" i="4"/>
  <c r="I2" i="4"/>
  <c r="L7" i="4"/>
  <c r="M7" i="4" s="1"/>
  <c r="N6" i="4"/>
  <c r="L6" i="4"/>
  <c r="M6" i="4" s="1"/>
  <c r="Q6" i="4" s="1"/>
  <c r="K6" i="4"/>
  <c r="L5" i="4"/>
  <c r="M5" i="4" s="1"/>
  <c r="Q5" i="4" s="1"/>
  <c r="K5" i="4"/>
  <c r="N5" i="4" s="1"/>
  <c r="L4" i="4"/>
  <c r="M4" i="4" s="1"/>
  <c r="Q4" i="4" s="1"/>
  <c r="L3" i="4"/>
  <c r="M3" i="4" s="1"/>
  <c r="Q3" i="4" s="1"/>
  <c r="L2" i="4"/>
  <c r="M2" i="4" s="1"/>
  <c r="Q2" i="4" s="1"/>
  <c r="K2" i="4"/>
  <c r="N2" i="4" s="1"/>
  <c r="G10" i="2"/>
  <c r="G7" i="2"/>
  <c r="I13" i="3"/>
  <c r="J13" i="3" s="1"/>
  <c r="N13" i="3" s="1"/>
  <c r="H13" i="3"/>
  <c r="K13" i="3" s="1"/>
  <c r="I12" i="3"/>
  <c r="J12" i="3" s="1"/>
  <c r="H12" i="3"/>
  <c r="K12" i="3" s="1"/>
  <c r="I11" i="3"/>
  <c r="J11" i="3" s="1"/>
  <c r="H11" i="3"/>
  <c r="K11" i="3" s="1"/>
  <c r="I10" i="3"/>
  <c r="J10" i="3" s="1"/>
  <c r="H10" i="3"/>
  <c r="K10" i="3" s="1"/>
  <c r="I2" i="3"/>
  <c r="J2" i="3" s="1"/>
  <c r="L2" i="3" s="1"/>
  <c r="M2" i="3" s="1"/>
  <c r="H2" i="3"/>
  <c r="K2" i="3" s="1"/>
  <c r="I9" i="3"/>
  <c r="J9" i="3" s="1"/>
  <c r="H9" i="3"/>
  <c r="K9" i="3" s="1"/>
  <c r="I8" i="3"/>
  <c r="J8" i="3" s="1"/>
  <c r="H8" i="3"/>
  <c r="K8" i="3" s="1"/>
  <c r="I7" i="3"/>
  <c r="J7" i="3" s="1"/>
  <c r="H7" i="3"/>
  <c r="K7" i="3" s="1"/>
  <c r="J6" i="3"/>
  <c r="I6" i="3"/>
  <c r="H6" i="3"/>
  <c r="K6" i="3" s="1"/>
  <c r="I4" i="3"/>
  <c r="J4" i="3" s="1"/>
  <c r="H4" i="3"/>
  <c r="K4" i="3" s="1"/>
  <c r="N4" i="3" s="1"/>
  <c r="I3" i="3"/>
  <c r="J3" i="3" s="1"/>
  <c r="H3" i="3"/>
  <c r="K3" i="3" s="1"/>
  <c r="Q7" i="4" l="1"/>
  <c r="Q5" i="5"/>
  <c r="N3" i="3"/>
  <c r="N11" i="3"/>
  <c r="O2" i="4"/>
  <c r="P2" i="4" s="1"/>
  <c r="O4" i="4"/>
  <c r="P4" i="4" s="1"/>
  <c r="O6" i="5"/>
  <c r="N9" i="3"/>
  <c r="O6" i="4"/>
  <c r="O3" i="4"/>
  <c r="O8" i="5"/>
  <c r="O11" i="5"/>
  <c r="P11" i="5" s="1"/>
  <c r="N10" i="3"/>
  <c r="H30" i="6"/>
  <c r="N10" i="2"/>
  <c r="H28" i="6" s="1"/>
  <c r="O7" i="2"/>
  <c r="N7" i="3"/>
  <c r="N8" i="3"/>
  <c r="N12" i="3"/>
  <c r="N2" i="3"/>
  <c r="N6" i="3"/>
  <c r="N5" i="3"/>
  <c r="L5" i="3"/>
  <c r="M5" i="3" s="1"/>
  <c r="O4" i="5"/>
  <c r="O3" i="5"/>
  <c r="O2" i="5"/>
  <c r="P2" i="5" s="1"/>
  <c r="P9" i="5"/>
  <c r="O7" i="5"/>
  <c r="O5" i="5"/>
  <c r="O5" i="4"/>
  <c r="P5" i="4" s="1"/>
  <c r="L10" i="3"/>
  <c r="M10" i="3" s="1"/>
  <c r="L3" i="3"/>
  <c r="M3" i="3" s="1"/>
  <c r="L12" i="3"/>
  <c r="M12" i="3" s="1"/>
  <c r="L13" i="3"/>
  <c r="M13" i="3" s="1"/>
  <c r="L11" i="3"/>
  <c r="M11" i="3" s="1"/>
  <c r="L4" i="3"/>
  <c r="M4" i="3" s="1"/>
  <c r="L9" i="3"/>
  <c r="M9" i="3" s="1"/>
  <c r="L8" i="3"/>
  <c r="M8" i="3" s="1"/>
  <c r="L7" i="3"/>
  <c r="M7" i="3" s="1"/>
  <c r="L6" i="3"/>
  <c r="M6" i="3" s="1"/>
  <c r="P3" i="4" l="1"/>
  <c r="P6" i="4"/>
  <c r="G30" i="6"/>
  <c r="N7" i="2"/>
  <c r="G28" i="6" s="1"/>
  <c r="P7" i="4"/>
  <c r="P5" i="5"/>
  <c r="P3" i="5"/>
  <c r="P8" i="5"/>
  <c r="P4" i="5"/>
  <c r="P7" i="5"/>
  <c r="P13" i="5"/>
  <c r="P12" i="5"/>
  <c r="P10" i="5"/>
  <c r="P6" i="5"/>
  <c r="I10" i="2"/>
  <c r="F10" i="2"/>
  <c r="H26" i="6" s="1"/>
  <c r="I7" i="2"/>
  <c r="J7" i="2" s="1"/>
  <c r="G7" i="9" s="1"/>
  <c r="C4" i="2"/>
  <c r="I4" i="2"/>
  <c r="F4" i="2"/>
  <c r="F26" i="6" s="1"/>
  <c r="N10" i="1"/>
  <c r="K7" i="1"/>
  <c r="N7" i="1" s="1"/>
  <c r="L10" i="1"/>
  <c r="M10" i="1" s="1"/>
  <c r="H10" i="7" s="1"/>
  <c r="K10" i="1"/>
  <c r="L7" i="1"/>
  <c r="M7" i="1" s="1"/>
  <c r="L4" i="1"/>
  <c r="M4" i="1" s="1"/>
  <c r="K4" i="1"/>
  <c r="N4" i="1" s="1"/>
  <c r="H7" i="9" l="1"/>
  <c r="J7" i="9" s="1"/>
  <c r="I7" i="7"/>
  <c r="E7" i="10"/>
  <c r="F7" i="9"/>
  <c r="O10" i="1"/>
  <c r="H10" i="9"/>
  <c r="J10" i="9" s="1"/>
  <c r="N10" i="9" s="1"/>
  <c r="J10" i="10"/>
  <c r="E10" i="10"/>
  <c r="H10" i="10"/>
  <c r="I10" i="7"/>
  <c r="J10" i="7" s="1"/>
  <c r="K10" i="7" s="1"/>
  <c r="F10" i="9"/>
  <c r="H4" i="9"/>
  <c r="I4" i="7"/>
  <c r="E4" i="10"/>
  <c r="J4" i="10"/>
  <c r="H4" i="10"/>
  <c r="H4" i="7"/>
  <c r="J7" i="10"/>
  <c r="L7" i="10" s="1"/>
  <c r="H7" i="10"/>
  <c r="H7" i="7"/>
  <c r="J7" i="7" s="1"/>
  <c r="K7" i="7" s="1"/>
  <c r="G13" i="6"/>
  <c r="O4" i="2"/>
  <c r="J4" i="2"/>
  <c r="G4" i="9" s="1"/>
  <c r="E4" i="2"/>
  <c r="F4" i="9"/>
  <c r="F24" i="6"/>
  <c r="S10" i="2"/>
  <c r="I10" i="10" s="1"/>
  <c r="J10" i="2"/>
  <c r="G10" i="9" s="1"/>
  <c r="O7" i="1"/>
  <c r="O4" i="1"/>
  <c r="S4" i="2"/>
  <c r="G4" i="2"/>
  <c r="S7" i="2"/>
  <c r="I7" i="10" s="1"/>
  <c r="L10" i="2"/>
  <c r="L7" i="2"/>
  <c r="L4" i="2"/>
  <c r="M13" i="9"/>
  <c r="N13" i="9" s="1"/>
  <c r="I4" i="10" l="1"/>
  <c r="L4" i="10" s="1"/>
  <c r="Q4" i="10" s="1"/>
  <c r="J4" i="9"/>
  <c r="N4" i="9" s="1"/>
  <c r="F30" i="6"/>
  <c r="N4" i="2"/>
  <c r="F28" i="6" s="1"/>
  <c r="D33" i="6"/>
  <c r="D32" i="6"/>
  <c r="H15" i="6"/>
  <c r="L10" i="10"/>
  <c r="G15" i="6"/>
  <c r="J4" i="7"/>
  <c r="K4" i="7" s="1"/>
  <c r="N7" i="9"/>
  <c r="Q4" i="2"/>
  <c r="P4" i="2"/>
  <c r="H13" i="6"/>
  <c r="Q7" i="2"/>
  <c r="P7" i="2"/>
  <c r="Q10" i="2"/>
  <c r="P10" i="2"/>
  <c r="W10" i="10"/>
  <c r="V10" i="10"/>
  <c r="H21" i="6" s="1"/>
  <c r="Q10" i="10"/>
  <c r="W7" i="10"/>
  <c r="V7" i="10"/>
  <c r="G21" i="6" s="1"/>
  <c r="Q7" i="10"/>
  <c r="W4" i="10"/>
  <c r="V4" i="10"/>
  <c r="F21" i="6" s="1"/>
  <c r="G32" i="6" l="1"/>
  <c r="F33" i="6"/>
  <c r="F32" i="6"/>
  <c r="F13" i="6"/>
  <c r="F15" i="6"/>
  <c r="G17" i="6"/>
  <c r="P7" i="10"/>
  <c r="G33" i="6" s="1"/>
  <c r="H32" i="6"/>
  <c r="F17" i="6"/>
  <c r="P4" i="10"/>
  <c r="H17" i="6"/>
  <c r="P10" i="10"/>
  <c r="H33" i="6" s="1"/>
</calcChain>
</file>

<file path=xl/sharedStrings.xml><?xml version="1.0" encoding="utf-8"?>
<sst xmlns="http://schemas.openxmlformats.org/spreadsheetml/2006/main" count="476" uniqueCount="237">
  <si>
    <t>Type</t>
  </si>
  <si>
    <t>WL_param1</t>
  </si>
  <si>
    <t>WL_param2</t>
  </si>
  <si>
    <t>WL_param3</t>
  </si>
  <si>
    <t>WL_param4</t>
  </si>
  <si>
    <t>BL_param1</t>
  </si>
  <si>
    <t>BL_param2</t>
  </si>
  <si>
    <t>BL_param3</t>
  </si>
  <si>
    <t>BL_param4</t>
  </si>
  <si>
    <t>active_pitch_WL</t>
  </si>
  <si>
    <t>active_pitch_BL</t>
  </si>
  <si>
    <t>WL_pitch</t>
  </si>
  <si>
    <t>BL_pitch</t>
  </si>
  <si>
    <t>Cell_Area</t>
  </si>
  <si>
    <t>Z2W</t>
  </si>
  <si>
    <t>t_mSD</t>
  </si>
  <si>
    <t>Sz</t>
  </si>
  <si>
    <t>LSD</t>
  </si>
  <si>
    <t>L1</t>
  </si>
  <si>
    <t>S1</t>
  </si>
  <si>
    <t>Comment</t>
  </si>
  <si>
    <t>thickness of metal S/D wraparound</t>
  </si>
  <si>
    <t>Space in Z</t>
  </si>
  <si>
    <t>Contact length</t>
  </si>
  <si>
    <t>Lg drawn -&gt; fits 2*t_hik + t_MG i.e. &gt;=20nm</t>
  </si>
  <si>
    <t>Space in Lg</t>
  </si>
  <si>
    <t>Z2W + 2*t_mSD + Sz</t>
  </si>
  <si>
    <t>3*LSD + 2*L1 + S1</t>
  </si>
  <si>
    <t>2 actives in this direction</t>
  </si>
  <si>
    <t>active_BL /2</t>
  </si>
  <si>
    <t>active_WL</t>
  </si>
  <si>
    <t>WL_pitch*BL_pitch</t>
  </si>
  <si>
    <t>Values</t>
  </si>
  <si>
    <t>Param</t>
  </si>
  <si>
    <t>Equation</t>
  </si>
  <si>
    <t>FinFET</t>
  </si>
  <si>
    <t>Channel WA</t>
  </si>
  <si>
    <t>Dcon</t>
  </si>
  <si>
    <t>SWL</t>
  </si>
  <si>
    <t>mWL</t>
  </si>
  <si>
    <t>SBL</t>
  </si>
  <si>
    <t>fits 2*t_ADM + 2*t_hik + t_MG i.e. &gt;=24</t>
  </si>
  <si>
    <t>Dcon + SBL</t>
  </si>
  <si>
    <t>active_BL</t>
  </si>
  <si>
    <t>margin for ADM via</t>
  </si>
  <si>
    <t>space between cells in BL direction</t>
  </si>
  <si>
    <t>space between cells in WL direction</t>
  </si>
  <si>
    <t>t_hik</t>
  </si>
  <si>
    <t>2*t_hik + Dcon + SWL + 2*mWL</t>
  </si>
  <si>
    <t>2*t_hik + Dcon + SBL</t>
  </si>
  <si>
    <t>space between Adm in WL direction</t>
  </si>
  <si>
    <t>margin for ADM to WL edge</t>
  </si>
  <si>
    <t>hik thickness &gt;5nm for leakage</t>
  </si>
  <si>
    <t>fits ADM &gt;=4nm physical; &lt;=14nm for Ioff; Z also constrained</t>
  </si>
  <si>
    <t>Dcon + SWL + mWL*2</t>
  </si>
  <si>
    <t>Gate WA</t>
  </si>
  <si>
    <t>Le,min</t>
  </si>
  <si>
    <t>if fin, it will be ~35nm Lg for t_fin = 14nm; 20nm for t_fin = 9nm @Nd = 5e18 /X22MA</t>
  </si>
  <si>
    <t>Z</t>
  </si>
  <si>
    <t>L2</t>
  </si>
  <si>
    <t>Lg extension/RCAT if needed</t>
  </si>
  <si>
    <t>Le,min + L2</t>
  </si>
  <si>
    <t>u</t>
  </si>
  <si>
    <t>Cox</t>
  </si>
  <si>
    <t>Vp-Vt</t>
  </si>
  <si>
    <t>2*Z1H + Z1W (Z1H is height of RCAT fin) = 2*Z2H - 4*L2 + Z2W</t>
  </si>
  <si>
    <t>(u*Cox*Von)^-1 * [(2*Z2H + Z1H -4*L2)/L1 + (2*Z2H + Z1H -2*L2)/L2</t>
  </si>
  <si>
    <t>transistor in linear regime</t>
  </si>
  <si>
    <t>Ioff</t>
  </si>
  <si>
    <t>Cov</t>
  </si>
  <si>
    <t>rho_con (ohm-cm2)</t>
  </si>
  <si>
    <t>Rcon (ohms)</t>
  </si>
  <si>
    <t>Rch (ohms)</t>
  </si>
  <si>
    <t>Von (V)</t>
  </si>
  <si>
    <t>Cgg or Cox (F/cm2)</t>
  </si>
  <si>
    <t>mobility (cm2/Vs)</t>
  </si>
  <si>
    <t>Le,tot (nm)</t>
  </si>
  <si>
    <t>L2 (nm)</t>
  </si>
  <si>
    <t>Le,min (nm)</t>
  </si>
  <si>
    <t>specific con resistivity</t>
  </si>
  <si>
    <t>rho_con/(Z*LSD)</t>
  </si>
  <si>
    <t>Vds/(Rch+2*Rcon)</t>
  </si>
  <si>
    <t>C0*Z*ov</t>
  </si>
  <si>
    <t>pi*Dcon</t>
  </si>
  <si>
    <t>pi*Dcon-2*t_ADM</t>
  </si>
  <si>
    <t>Lg = 15nm for t_ADM =2nm; or same as above</t>
  </si>
  <si>
    <t>Lcon/Ov</t>
  </si>
  <si>
    <t>Ov</t>
  </si>
  <si>
    <t>spacer overlap og G--&gt;SD</t>
  </si>
  <si>
    <t>BL height</t>
  </si>
  <si>
    <t>Lcon</t>
  </si>
  <si>
    <t>ov</t>
  </si>
  <si>
    <t>units in nm except area in um2</t>
  </si>
  <si>
    <t>(u*Cox*Von)^-1 * (Z/L)</t>
  </si>
  <si>
    <t>What geometric parameter enables scaling - plot one param at a time</t>
  </si>
  <si>
    <t>each param can also define Lg and Z</t>
  </si>
  <si>
    <t>Aspect Ratio</t>
  </si>
  <si>
    <t>S/D contact or fin Z - linear change in current</t>
  </si>
  <si>
    <t>Z2W (top-down Z)</t>
  </si>
  <si>
    <t>Metal wrap-around</t>
  </si>
  <si>
    <t>iso-space Z</t>
  </si>
  <si>
    <t>Lg</t>
  </si>
  <si>
    <t>iso-space Lg</t>
  </si>
  <si>
    <t>Area</t>
  </si>
  <si>
    <t>Lg cell pitch</t>
  </si>
  <si>
    <t>Z cell pitch</t>
  </si>
  <si>
    <t>In FinFET</t>
  </si>
  <si>
    <t>If electricals are in place, the Le is limited by ability to fit hi-k and metal gate</t>
  </si>
  <si>
    <t>The Z is controlled by the height</t>
  </si>
  <si>
    <t>Top down ZPV / Z2W affects aspect ratio of etch and spacing</t>
  </si>
  <si>
    <t>Area (um2)</t>
  </si>
  <si>
    <t>change in area</t>
  </si>
  <si>
    <t>In Vertical 2</t>
  </si>
  <si>
    <t>Dcon or top down contact/ADM size is limited by ability to etch and fill</t>
  </si>
  <si>
    <t>Dcon is the most important factor</t>
  </si>
  <si>
    <t>Space between Dcon i.e. SWL is determined by being able to fit high-k and metal gate</t>
  </si>
  <si>
    <t>In Vertical 1</t>
  </si>
  <si>
    <t>Dcon consists of t_MG, t_hik and t_ADM --&gt; limits are applied by aspect ratio filling of these materials</t>
  </si>
  <si>
    <t>AR</t>
  </si>
  <si>
    <t>Z (nm) tar &gt;60</t>
  </si>
  <si>
    <t>Ion (A) &gt;5e-6</t>
  </si>
  <si>
    <t>Need to improve contact resistance by using rsd - see Electricals tab</t>
  </si>
  <si>
    <t>CWL</t>
  </si>
  <si>
    <t>CBL</t>
  </si>
  <si>
    <t>SNC</t>
  </si>
  <si>
    <t>P1222.6</t>
  </si>
  <si>
    <t>Cylindric Gate</t>
  </si>
  <si>
    <t>Cylindric ADM</t>
  </si>
  <si>
    <t>COB</t>
  </si>
  <si>
    <t>CUB</t>
  </si>
  <si>
    <t>2F</t>
  </si>
  <si>
    <t>Seal/Fill</t>
  </si>
  <si>
    <t>Cell Size</t>
  </si>
  <si>
    <t>BL Length</t>
  </si>
  <si>
    <t>WL Length</t>
  </si>
  <si>
    <t>AT Resistance</t>
  </si>
  <si>
    <t>Storage Node Cap</t>
  </si>
  <si>
    <t>µ</t>
  </si>
  <si>
    <t>Contact Area</t>
  </si>
  <si>
    <t>Contact Resistance</t>
  </si>
  <si>
    <t>135 x 216</t>
  </si>
  <si>
    <t>FE mobility at peak gm</t>
  </si>
  <si>
    <t>15uA @ r1 start</t>
  </si>
  <si>
    <t>std 1271</t>
  </si>
  <si>
    <t>P1271.3</t>
  </si>
  <si>
    <t>108 x 135</t>
  </si>
  <si>
    <t>10uA @ r1 start</t>
  </si>
  <si>
    <t>90-120</t>
  </si>
  <si>
    <t>27.5 x 90 nm2</t>
  </si>
  <si>
    <t>90 x 22</t>
  </si>
  <si>
    <t>40 x 52</t>
  </si>
  <si>
    <t>fin x gate</t>
  </si>
  <si>
    <t>39 x 43</t>
  </si>
  <si>
    <t>39 x 49</t>
  </si>
  <si>
    <t>WL Cap/bit</t>
  </si>
  <si>
    <t>BL Cap/bit</t>
  </si>
  <si>
    <t>90 x 60 BG</t>
  </si>
  <si>
    <t>Latency</t>
  </si>
  <si>
    <t>R/L</t>
  </si>
  <si>
    <t>C/L</t>
  </si>
  <si>
    <t>Rinv</t>
  </si>
  <si>
    <t>Cinv</t>
  </si>
  <si>
    <t>Cload</t>
  </si>
  <si>
    <t>Length</t>
  </si>
  <si>
    <t>90 x 60</t>
  </si>
  <si>
    <t>Transistor Z</t>
  </si>
  <si>
    <t>space between isolation</t>
  </si>
  <si>
    <t>Sbl</t>
  </si>
  <si>
    <t>contact length</t>
  </si>
  <si>
    <t>BG</t>
  </si>
  <si>
    <t>Lg = 40nm for t_ADM =2nm; or same as above</t>
  </si>
  <si>
    <t>Cgg (F)</t>
  </si>
  <si>
    <t>fin pitch</t>
  </si>
  <si>
    <t>Capacitor technology</t>
  </si>
  <si>
    <t>Total WL cap/bit (F)</t>
  </si>
  <si>
    <t>resistance/bit (ohms)</t>
  </si>
  <si>
    <t>resitivity (uohm.cm)</t>
  </si>
  <si>
    <t>height of WL</t>
  </si>
  <si>
    <t>WL driver resistance (ohms)</t>
  </si>
  <si>
    <t>WL driver capcitance (F)</t>
  </si>
  <si>
    <t>WL delay (s)</t>
  </si>
  <si>
    <t>WL-WL coupling (F)</t>
  </si>
  <si>
    <t>bits/WL (#)</t>
  </si>
  <si>
    <t>BL delay (s)</t>
  </si>
  <si>
    <t>WB delay (s)</t>
  </si>
  <si>
    <t>bits/BL (#)</t>
  </si>
  <si>
    <t>Total BL cap/bit (F)</t>
  </si>
  <si>
    <t>BL-BL coupling (F)</t>
  </si>
  <si>
    <t>Cov (F)</t>
  </si>
  <si>
    <t>Storage cap (fF)</t>
  </si>
  <si>
    <t>Vref (V)</t>
  </si>
  <si>
    <t>Vstorage 1 (V)</t>
  </si>
  <si>
    <t>Vstorage 0 (V)</t>
  </si>
  <si>
    <t>SM 1 (mV)</t>
  </si>
  <si>
    <t>SM 0 (mV)</t>
  </si>
  <si>
    <t>dielectric constant</t>
  </si>
  <si>
    <t>area (um2)</t>
  </si>
  <si>
    <t>Cap WL pitch (nm)</t>
  </si>
  <si>
    <t>Cap BL pitch (nm)</t>
  </si>
  <si>
    <t>thickness (nm)</t>
  </si>
  <si>
    <t>metal thick (nm)</t>
  </si>
  <si>
    <t>DielMat</t>
  </si>
  <si>
    <t>TZT?</t>
  </si>
  <si>
    <t>Design values</t>
  </si>
  <si>
    <t>from electricals</t>
  </si>
  <si>
    <t>Rtot (ohms)</t>
  </si>
  <si>
    <t>std 1222</t>
  </si>
  <si>
    <t>active pitch</t>
  </si>
  <si>
    <t>Samsun 1y</t>
  </si>
  <si>
    <t>std DRAM</t>
  </si>
  <si>
    <t>pi*radius^2</t>
  </si>
  <si>
    <t>height of fin x 2</t>
  </si>
  <si>
    <t>planar Z</t>
  </si>
  <si>
    <t>Area_con (um2)</t>
  </si>
  <si>
    <t>Rsd increases area by 4x</t>
  </si>
  <si>
    <t>20 x 110; fin ht dependent; Rsd extra</t>
  </si>
  <si>
    <t>Z x Lcon</t>
  </si>
  <si>
    <t>Sense Margin</t>
  </si>
  <si>
    <t>exp DRAM; literature</t>
  </si>
  <si>
    <t>WL rise time</t>
  </si>
  <si>
    <t>46 x 52</t>
  </si>
  <si>
    <t>from teardown</t>
  </si>
  <si>
    <t>fin</t>
  </si>
  <si>
    <t>based on teardown</t>
  </si>
  <si>
    <t>BL driver capcitance (F)</t>
  </si>
  <si>
    <t>BL driver resistance (ohms)</t>
  </si>
  <si>
    <t>estimation</t>
  </si>
  <si>
    <t>Cap SW height (um)</t>
  </si>
  <si>
    <t>Cap DW height (um)</t>
  </si>
  <si>
    <t>Metal</t>
  </si>
  <si>
    <t>both</t>
  </si>
  <si>
    <t>damascene</t>
  </si>
  <si>
    <t>tRC</t>
  </si>
  <si>
    <t>height of BL (nm)</t>
  </si>
  <si>
    <t>BL CD (nm)</t>
  </si>
  <si>
    <t>BL space (nm)</t>
  </si>
  <si>
    <t>BL-WL Coupling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</si>
</sst>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11" fontId="0" fillId="0" borderId="0" xfId="0" applyNumberFormat="1"/>
    <xf numFmtId="11" fontId="0" fillId="0" borderId="0" xfId="0" applyNumberForma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2" fontId="0" fillId="0" borderId="0" xfId="0" applyNumberFormat="1"/>
    <xf numFmtId="2" fontId="0" fillId="0" borderId="0" xfId="0" applyNumberFormat="1" applyAlignment="1">
      <alignment wrapText="1"/>
    </xf>
    <xf numFmtId="164" fontId="0" fillId="0" borderId="0" xfId="0" applyNumberFormat="1"/>
    <xf numFmtId="0" fontId="0" fillId="2" borderId="0" xfId="0" applyFill="1"/>
    <xf numFmtId="0" fontId="0" fillId="0" borderId="0" xfId="0" applyFill="1"/>
    <xf numFmtId="9" fontId="0" fillId="0" borderId="0" xfId="1" applyFont="1"/>
    <xf numFmtId="11" fontId="1" fillId="0" borderId="0" xfId="0" applyNumberFormat="1" applyFont="1"/>
    <xf numFmtId="0" fontId="3" fillId="0" borderId="0" xfId="2"/>
    <xf numFmtId="0" fontId="0" fillId="0" borderId="0" xfId="0" applyAlignment="1">
      <alignment horizontal="right"/>
    </xf>
    <xf numFmtId="11" fontId="0" fillId="0" borderId="0" xfId="0" applyNumberFormat="1" applyAlignment="1">
      <alignment horizontal="right"/>
    </xf>
    <xf numFmtId="2" fontId="1" fillId="0" borderId="0" xfId="0" applyNumberFormat="1" applyFont="1"/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right"/>
    </xf>
    <xf numFmtId="0" fontId="5" fillId="0" borderId="0" xfId="2" applyFont="1" applyAlignment="1">
      <alignment horizontal="right"/>
    </xf>
    <xf numFmtId="0" fontId="6" fillId="0" borderId="0" xfId="2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11" fontId="5" fillId="0" borderId="0" xfId="2" applyNumberFormat="1" applyFont="1" applyAlignment="1">
      <alignment horizontal="right"/>
    </xf>
    <xf numFmtId="1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  <xf numFmtId="11" fontId="1" fillId="0" borderId="0" xfId="0" applyNumberFormat="1" applyFont="1" applyAlignment="1">
      <alignment horizontal="right"/>
    </xf>
    <xf numFmtId="0" fontId="8" fillId="0" borderId="0" xfId="2" applyFont="1"/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0" applyFont="1"/>
    <xf numFmtId="0" fontId="8" fillId="0" borderId="0" xfId="2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290286</xdr:colOff>
      <xdr:row>17</xdr:row>
      <xdr:rowOff>56507</xdr:rowOff>
    </xdr:from>
    <xdr:to>
      <xdr:col>6</xdr:col>
      <xdr:colOff>488410</xdr:colOff>
      <xdr:row>31</xdr:row>
      <xdr:rowOff>67476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286" y="5526578"/>
          <a:ext cx="4561481" cy="2550969"/>
        </a:xfrm>
        <a:prstGeom prst="rect">
          <a:avLst/>
        </a:prstGeom>
      </xdr:spPr>
    </xdr:pic>
    <xdr:clientData/>
  </xdr:twoCellAnchor>
  <xdr:twoCellAnchor editAs="oneCell">
    <xdr:from>
      <xdr:col>6</xdr:col>
      <xdr:colOff>343670</xdr:colOff>
      <xdr:row>17</xdr:row>
      <xdr:rowOff>64880</xdr:rowOff>
    </xdr:from>
    <xdr:to>
      <xdr:col>11</xdr:col>
      <xdr:colOff>316242</xdr:colOff>
      <xdr:row>31</xdr:row>
      <xdr:rowOff>119145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07027" y="5534951"/>
          <a:ext cx="4626215" cy="2594265"/>
        </a:xfrm>
        <a:prstGeom prst="rect">
          <a:avLst/>
        </a:prstGeom>
      </xdr:spPr>
    </xdr:pic>
    <xdr:clientData/>
  </xdr:twoCellAnchor>
  <xdr:twoCellAnchor editAs="oneCell">
    <xdr:from>
      <xdr:col>11</xdr:col>
      <xdr:colOff>358865</xdr:colOff>
      <xdr:row>16</xdr:row>
      <xdr:rowOff>53068</xdr:rowOff>
    </xdr:from>
    <xdr:to>
      <xdr:col>15</xdr:col>
      <xdr:colOff>519736</xdr:colOff>
      <xdr:row>30</xdr:row>
      <xdr:rowOff>149250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75865" y="5341711"/>
          <a:ext cx="4732871" cy="26361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176287</xdr:rowOff>
    </xdr:from>
    <xdr:to>
      <xdr:col>5</xdr:col>
      <xdr:colOff>708664</xdr:colOff>
      <xdr:row>30</xdr:row>
      <xdr:rowOff>6390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7825"/>
          <a:ext cx="4577279" cy="2614334"/>
        </a:xfrm>
        <a:prstGeom prst="rect">
          <a:avLst/>
        </a:prstGeom>
      </xdr:spPr>
    </xdr:pic>
    <xdr:clientData/>
  </xdr:twoCellAnchor>
  <xdr:twoCellAnchor editAs="oneCell">
    <xdr:from>
      <xdr:col>5</xdr:col>
      <xdr:colOff>609599</xdr:colOff>
      <xdr:row>15</xdr:row>
      <xdr:rowOff>172480</xdr:rowOff>
    </xdr:from>
    <xdr:to>
      <xdr:col>11</xdr:col>
      <xdr:colOff>879425</xdr:colOff>
      <xdr:row>30</xdr:row>
      <xdr:rowOff>36870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8214" y="4764018"/>
          <a:ext cx="4626903" cy="2648621"/>
        </a:xfrm>
        <a:prstGeom prst="rect">
          <a:avLst/>
        </a:prstGeom>
      </xdr:spPr>
    </xdr:pic>
    <xdr:clientData/>
  </xdr:twoCellAnchor>
  <xdr:twoCellAnchor editAs="oneCell">
    <xdr:from>
      <xdr:col>11</xdr:col>
      <xdr:colOff>1889759</xdr:colOff>
      <xdr:row>15</xdr:row>
      <xdr:rowOff>162952</xdr:rowOff>
    </xdr:from>
    <xdr:to>
      <xdr:col>16</xdr:col>
      <xdr:colOff>126090</xdr:colOff>
      <xdr:row>30</xdr:row>
      <xdr:rowOff>74970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9144" y="4754490"/>
          <a:ext cx="4725445" cy="26962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502921</xdr:colOff>
      <xdr:row>33</xdr:row>
      <xdr:rowOff>99060</xdr:rowOff>
    </xdr:from>
    <xdr:to>
      <xdr:col>20</xdr:col>
      <xdr:colOff>60961</xdr:colOff>
      <xdr:row>63</xdr:row>
      <xdr:rowOff>67099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1" y="6591300"/>
          <a:ext cx="6263640" cy="42047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137160</xdr:colOff>
      <xdr:row>15</xdr:row>
      <xdr:rowOff>91440</xdr:rowOff>
    </xdr:from>
    <xdr:to>
      <xdr:col>15</xdr:col>
      <xdr:colOff>97817</xdr:colOff>
      <xdr:row>36</xdr:row>
      <xdr:rowOff>37451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52960" y="2834640"/>
          <a:ext cx="3778277" cy="3786491"/>
        </a:xfrm>
        <a:prstGeom prst="rect">
          <a:avLst/>
        </a:prstGeom>
      </xdr:spPr>
    </xdr:pic>
    <xdr:clientData/>
  </xdr:twoCellAnchor>
  <xdr:twoCellAnchor editAs="oneCell">
    <xdr:from>
      <xdr:col>7</xdr:col>
      <xdr:colOff>175261</xdr:colOff>
      <xdr:row>15</xdr:row>
      <xdr:rowOff>167640</xdr:rowOff>
    </xdr:from>
    <xdr:to>
      <xdr:col>10</xdr:col>
      <xdr:colOff>866493</xdr:colOff>
      <xdr:row>33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6561" y="2910840"/>
          <a:ext cx="3792572" cy="3284220"/>
        </a:xfrm>
        <a:prstGeom prst="rect">
          <a:avLst/>
        </a:prstGeom>
      </xdr:spPr>
    </xdr:pic>
    <xdr:clientData/>
  </xdr:twoCellAnchor>
  <xdr:twoCellAnchor>
    <xdr:from>
      <xdr:col>9</xdr:col>
      <xdr:colOff>396240</xdr:colOff>
      <xdr:row>24</xdr:row>
      <xdr:rowOff>167640</xdr:rowOff>
    </xdr:from>
    <xdr:to>
      <xdr:col>10</xdr:col>
      <xdr:colOff>365760</xdr:colOff>
      <xdr:row>26</xdr:row>
      <xdr:rowOff>45720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884920" y="4556760"/>
          <a:ext cx="1173480" cy="24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BL-BL</a:t>
          </a:r>
          <a:r>
            <a:rPr lang="en-US" sz="1100" baseline="0"/>
            <a:t> coupling</a:t>
          </a:r>
          <a:endParaRPr lang="en-US" sz="1100"/>
        </a:p>
      </xdr:txBody>
    </xdr:sp>
    <xdr:clientData/>
  </xdr:twoCellAnchor>
  <xdr:twoCellAnchor>
    <xdr:from>
      <xdr:col>9</xdr:col>
      <xdr:colOff>784860</xdr:colOff>
      <xdr:row>19</xdr:row>
      <xdr:rowOff>30480</xdr:rowOff>
    </xdr:from>
    <xdr:to>
      <xdr:col>10</xdr:col>
      <xdr:colOff>350520</xdr:colOff>
      <xdr:row>20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9273540" y="3505200"/>
          <a:ext cx="76962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BL driver</a:t>
          </a:r>
        </a:p>
      </xdr:txBody>
    </xdr:sp>
    <xdr:clientData/>
  </xdr:twoCellAnchor>
  <xdr:twoCellAnchor>
    <xdr:from>
      <xdr:col>8</xdr:col>
      <xdr:colOff>312420</xdr:colOff>
      <xdr:row>18</xdr:row>
      <xdr:rowOff>30480</xdr:rowOff>
    </xdr:from>
    <xdr:to>
      <xdr:col>9</xdr:col>
      <xdr:colOff>769620</xdr:colOff>
      <xdr:row>19</xdr:row>
      <xdr:rowOff>60960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214360" y="3322320"/>
          <a:ext cx="104394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BL resistance</a:t>
          </a:r>
        </a:p>
      </xdr:txBody>
    </xdr:sp>
    <xdr:clientData/>
  </xdr:twoCellAnchor>
  <xdr:twoCellAnchor>
    <xdr:from>
      <xdr:col>7</xdr:col>
      <xdr:colOff>518160</xdr:colOff>
      <xdr:row>21</xdr:row>
      <xdr:rowOff>152400</xdr:rowOff>
    </xdr:from>
    <xdr:to>
      <xdr:col>7</xdr:col>
      <xdr:colOff>1135380</xdr:colOff>
      <xdr:row>23</xdr:row>
      <xdr:rowOff>7620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7109460" y="3992880"/>
          <a:ext cx="617220" cy="220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bitcell</a:t>
          </a:r>
        </a:p>
      </xdr:txBody>
    </xdr:sp>
    <xdr:clientData/>
  </xdr:twoCellAnchor>
  <xdr:twoCellAnchor>
    <xdr:from>
      <xdr:col>7</xdr:col>
      <xdr:colOff>937260</xdr:colOff>
      <xdr:row>16</xdr:row>
      <xdr:rowOff>7620</xdr:rowOff>
    </xdr:from>
    <xdr:to>
      <xdr:col>8</xdr:col>
      <xdr:colOff>243840</xdr:colOff>
      <xdr:row>18</xdr:row>
      <xdr:rowOff>144780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7528560" y="2933700"/>
          <a:ext cx="617220" cy="502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WL-BL coup</a:t>
          </a:r>
        </a:p>
      </xdr:txBody>
    </xdr:sp>
    <xdr:clientData/>
  </xdr:twoCellAnchor>
  <xdr:twoCellAnchor>
    <xdr:from>
      <xdr:col>13</xdr:col>
      <xdr:colOff>716280</xdr:colOff>
      <xdr:row>27</xdr:row>
      <xdr:rowOff>60960</xdr:rowOff>
    </xdr:from>
    <xdr:to>
      <xdr:col>14</xdr:col>
      <xdr:colOff>228600</xdr:colOff>
      <xdr:row>28</xdr:row>
      <xdr:rowOff>106680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4470380" y="4998720"/>
          <a:ext cx="98298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C000"/>
              </a:solidFill>
            </a:rPr>
            <a:t>BL delay</a:t>
          </a:r>
        </a:p>
      </xdr:txBody>
    </xdr:sp>
    <xdr:clientData/>
  </xdr:twoCellAnchor>
  <xdr:twoCellAnchor>
    <xdr:from>
      <xdr:col>13</xdr:col>
      <xdr:colOff>1226820</xdr:colOff>
      <xdr:row>21</xdr:row>
      <xdr:rowOff>144780</xdr:rowOff>
    </xdr:from>
    <xdr:to>
      <xdr:col>15</xdr:col>
      <xdr:colOff>30480</xdr:colOff>
      <xdr:row>23</xdr:row>
      <xdr:rowOff>7620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4980920" y="3985260"/>
          <a:ext cx="98298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WB delay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563880</xdr:colOff>
      <xdr:row>15</xdr:row>
      <xdr:rowOff>38100</xdr:rowOff>
    </xdr:from>
    <xdr:to>
      <xdr:col>8</xdr:col>
      <xdr:colOff>501629</xdr:colOff>
      <xdr:row>29</xdr:row>
      <xdr:rowOff>94709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6880" y="2781300"/>
          <a:ext cx="3199109" cy="2616929"/>
        </a:xfrm>
        <a:prstGeom prst="rect">
          <a:avLst/>
        </a:prstGeom>
      </xdr:spPr>
    </xdr:pic>
    <xdr:clientData/>
  </xdr:twoCellAnchor>
  <xdr:twoCellAnchor>
    <xdr:from>
      <xdr:col>7</xdr:col>
      <xdr:colOff>510540</xdr:colOff>
      <xdr:row>23</xdr:row>
      <xdr:rowOff>15240</xdr:rowOff>
    </xdr:from>
    <xdr:to>
      <xdr:col>8</xdr:col>
      <xdr:colOff>411480</xdr:colOff>
      <xdr:row>24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452360" y="4221480"/>
          <a:ext cx="1173480" cy="24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WL-WL</a:t>
          </a:r>
          <a:r>
            <a:rPr lang="en-US" sz="1100" baseline="0"/>
            <a:t> coupling</a:t>
          </a:r>
          <a:endParaRPr lang="en-US" sz="1100"/>
        </a:p>
      </xdr:txBody>
    </xdr:sp>
    <xdr:clientData/>
  </xdr:twoCellAnchor>
  <xdr:twoCellAnchor>
    <xdr:from>
      <xdr:col>7</xdr:col>
      <xdr:colOff>899160</xdr:colOff>
      <xdr:row>17</xdr:row>
      <xdr:rowOff>60960</xdr:rowOff>
    </xdr:from>
    <xdr:to>
      <xdr:col>8</xdr:col>
      <xdr:colOff>396240</xdr:colOff>
      <xdr:row>18</xdr:row>
      <xdr:rowOff>106680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7840980" y="3169920"/>
          <a:ext cx="76962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WL driver</a:t>
          </a:r>
        </a:p>
      </xdr:txBody>
    </xdr:sp>
    <xdr:clientData/>
  </xdr:twoCellAnchor>
  <xdr:twoCellAnchor>
    <xdr:from>
      <xdr:col>6</xdr:col>
      <xdr:colOff>449580</xdr:colOff>
      <xdr:row>16</xdr:row>
      <xdr:rowOff>60960</xdr:rowOff>
    </xdr:from>
    <xdr:to>
      <xdr:col>7</xdr:col>
      <xdr:colOff>883920</xdr:colOff>
      <xdr:row>17</xdr:row>
      <xdr:rowOff>91440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6781800" y="2987040"/>
          <a:ext cx="104394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WL resistance</a:t>
          </a:r>
        </a:p>
      </xdr:txBody>
    </xdr:sp>
    <xdr:clientData/>
  </xdr:twoCellAnchor>
  <xdr:twoCellAnchor>
    <xdr:from>
      <xdr:col>5</xdr:col>
      <xdr:colOff>723900</xdr:colOff>
      <xdr:row>20</xdr:row>
      <xdr:rowOff>0</xdr:rowOff>
    </xdr:from>
    <xdr:to>
      <xdr:col>5</xdr:col>
      <xdr:colOff>1341120</xdr:colOff>
      <xdr:row>21</xdr:row>
      <xdr:rowOff>38100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5676900" y="3657600"/>
          <a:ext cx="617220" cy="220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bitcell</a:t>
          </a:r>
        </a:p>
      </xdr:txBody>
    </xdr:sp>
    <xdr:clientData/>
  </xdr:twoCellAnchor>
  <xdr:twoCellAnchor>
    <xdr:from>
      <xdr:col>5</xdr:col>
      <xdr:colOff>1143000</xdr:colOff>
      <xdr:row>14</xdr:row>
      <xdr:rowOff>38100</xdr:rowOff>
    </xdr:from>
    <xdr:to>
      <xdr:col>6</xdr:col>
      <xdr:colOff>381000</xdr:colOff>
      <xdr:row>16</xdr:row>
      <xdr:rowOff>175260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6096000" y="2598420"/>
          <a:ext cx="617220" cy="502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WL-BL coup</a:t>
          </a:r>
        </a:p>
      </xdr:txBody>
    </xdr:sp>
    <xdr:clientData/>
  </xdr:twoCellAnchor>
  <xdr:twoCellAnchor editAs="oneCell">
    <xdr:from>
      <xdr:col>10</xdr:col>
      <xdr:colOff>129540</xdr:colOff>
      <xdr:row>13</xdr:row>
      <xdr:rowOff>175260</xdr:rowOff>
    </xdr:from>
    <xdr:to>
      <xdr:col>12</xdr:col>
      <xdr:colOff>753137</xdr:colOff>
      <xdr:row>34</xdr:row>
      <xdr:rowOff>121271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7060" y="2552700"/>
          <a:ext cx="3778277" cy="3786491"/>
        </a:xfrm>
        <a:prstGeom prst="rect">
          <a:avLst/>
        </a:prstGeom>
      </xdr:spPr>
    </xdr:pic>
    <xdr:clientData/>
  </xdr:twoCellAnchor>
  <xdr:twoCellAnchor>
    <xdr:from>
      <xdr:col>10</xdr:col>
      <xdr:colOff>1440180</xdr:colOff>
      <xdr:row>14</xdr:row>
      <xdr:rowOff>7620</xdr:rowOff>
    </xdr:from>
    <xdr:to>
      <xdr:col>11</xdr:col>
      <xdr:colOff>510540</xdr:colOff>
      <xdr:row>15</xdr:row>
      <xdr:rowOff>38100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2077700" y="2567940"/>
          <a:ext cx="75438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B050"/>
              </a:solidFill>
            </a:rPr>
            <a:t>WL delay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zoomScale="84" zoomScaleNormal="84" workbookViewId="0">
      <selection activeCell="J12" sqref="J12"/>
    </sheetView>
  </sheetViews>
  <sheetFormatPr baseColWidth="10" defaultColWidth="8.83203125" defaultRowHeight="15" x14ac:dyDescent="0.2"/>
  <cols>
    <col min="1" max="1" width="10.83203125" style="4" bestFit="1" customWidth="1"/>
    <col min="2" max="2" width="9.5" style="4" customWidth="1"/>
    <col min="3" max="6" width="10.83203125" bestFit="1" customWidth="1"/>
    <col min="7" max="10" width="10.1640625" bestFit="1" customWidth="1"/>
    <col min="11" max="11" width="27.1640625" bestFit="1" customWidth="1"/>
    <col min="12" max="12" width="18.1640625" bestFit="1" customWidth="1"/>
    <col min="13" max="13" width="17.6640625" bestFit="1" customWidth="1"/>
    <col min="14" max="14" width="14" bestFit="1" customWidth="1"/>
    <col min="15" max="15" width="16.83203125" bestFit="1" customWidth="1"/>
  </cols>
  <sheetData>
    <row r="1" spans="1:16" s="4" customFormat="1" x14ac:dyDescent="0.2">
      <c r="A1" s="4" t="s">
        <v>0</v>
      </c>
      <c r="B1" s="4" t="s">
        <v>33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</row>
    <row r="2" spans="1:16" x14ac:dyDescent="0.2">
      <c r="A2" s="34" t="s">
        <v>35</v>
      </c>
      <c r="B2" s="4" t="s">
        <v>34</v>
      </c>
      <c r="C2" t="s">
        <v>14</v>
      </c>
      <c r="D2" t="s">
        <v>15</v>
      </c>
      <c r="E2" t="s">
        <v>16</v>
      </c>
      <c r="G2" t="s">
        <v>17</v>
      </c>
      <c r="H2" t="s">
        <v>18</v>
      </c>
      <c r="I2" t="s">
        <v>19</v>
      </c>
      <c r="K2" t="s">
        <v>26</v>
      </c>
      <c r="L2" t="s">
        <v>27</v>
      </c>
      <c r="M2" t="s">
        <v>29</v>
      </c>
      <c r="N2" t="s">
        <v>30</v>
      </c>
      <c r="O2" t="s">
        <v>31</v>
      </c>
    </row>
    <row r="3" spans="1:16" s="1" customFormat="1" ht="80" x14ac:dyDescent="0.2">
      <c r="A3" s="34"/>
      <c r="B3" s="5" t="s">
        <v>20</v>
      </c>
      <c r="C3" s="1" t="s">
        <v>97</v>
      </c>
      <c r="D3" s="1" t="s">
        <v>21</v>
      </c>
      <c r="E3" s="1" t="s">
        <v>22</v>
      </c>
      <c r="G3" s="1" t="s">
        <v>23</v>
      </c>
      <c r="H3" s="1" t="s">
        <v>24</v>
      </c>
      <c r="I3" s="1" t="s">
        <v>25</v>
      </c>
      <c r="L3" s="1" t="s">
        <v>28</v>
      </c>
      <c r="P3" s="5" t="s">
        <v>92</v>
      </c>
    </row>
    <row r="4" spans="1:16" x14ac:dyDescent="0.2">
      <c r="A4" s="34"/>
      <c r="B4" s="4" t="s">
        <v>32</v>
      </c>
      <c r="C4">
        <v>10</v>
      </c>
      <c r="D4">
        <v>3</v>
      </c>
      <c r="E4">
        <v>24</v>
      </c>
      <c r="G4">
        <v>20</v>
      </c>
      <c r="H4">
        <v>20</v>
      </c>
      <c r="I4">
        <v>24</v>
      </c>
      <c r="K4">
        <f>C4+2*D4+E4</f>
        <v>40</v>
      </c>
      <c r="L4">
        <f>(3*G4+2*H4+I4)</f>
        <v>124</v>
      </c>
      <c r="M4">
        <f>L4/2</f>
        <v>62</v>
      </c>
      <c r="N4">
        <f>K4</f>
        <v>40</v>
      </c>
      <c r="O4">
        <f>M4*N4*0.000001</f>
        <v>2.48E-3</v>
      </c>
    </row>
    <row r="5" spans="1:16" x14ac:dyDescent="0.2">
      <c r="A5" s="34" t="s">
        <v>36</v>
      </c>
      <c r="B5" s="4" t="s">
        <v>34</v>
      </c>
      <c r="C5" t="s">
        <v>37</v>
      </c>
      <c r="D5" t="s">
        <v>38</v>
      </c>
      <c r="E5" t="s">
        <v>39</v>
      </c>
      <c r="G5" t="s">
        <v>37</v>
      </c>
      <c r="H5" t="s">
        <v>40</v>
      </c>
      <c r="K5" t="s">
        <v>54</v>
      </c>
      <c r="L5" t="s">
        <v>42</v>
      </c>
      <c r="M5" t="s">
        <v>43</v>
      </c>
      <c r="N5" t="s">
        <v>30</v>
      </c>
      <c r="O5" t="s">
        <v>31</v>
      </c>
    </row>
    <row r="6" spans="1:16" s="1" customFormat="1" ht="80" x14ac:dyDescent="0.2">
      <c r="A6" s="34"/>
      <c r="B6" s="5" t="s">
        <v>20</v>
      </c>
      <c r="C6" s="1" t="s">
        <v>41</v>
      </c>
      <c r="D6" s="1" t="s">
        <v>46</v>
      </c>
      <c r="E6" s="1" t="s">
        <v>44</v>
      </c>
      <c r="G6" s="1" t="s">
        <v>41</v>
      </c>
      <c r="H6" s="1" t="s">
        <v>45</v>
      </c>
    </row>
    <row r="7" spans="1:16" x14ac:dyDescent="0.2">
      <c r="A7" s="34"/>
      <c r="B7" s="4" t="s">
        <v>32</v>
      </c>
      <c r="C7">
        <v>24</v>
      </c>
      <c r="D7">
        <v>15</v>
      </c>
      <c r="E7">
        <v>2</v>
      </c>
      <c r="G7">
        <v>24</v>
      </c>
      <c r="H7">
        <v>15</v>
      </c>
      <c r="K7">
        <f>C7+D7+E7*2</f>
        <v>43</v>
      </c>
      <c r="L7">
        <f>G7+H7</f>
        <v>39</v>
      </c>
      <c r="M7">
        <f>L7</f>
        <v>39</v>
      </c>
      <c r="N7">
        <f>K7</f>
        <v>43</v>
      </c>
      <c r="O7">
        <f>N7*M7*0.000001</f>
        <v>1.6769999999999999E-3</v>
      </c>
    </row>
    <row r="8" spans="1:16" x14ac:dyDescent="0.2">
      <c r="A8" s="34" t="s">
        <v>55</v>
      </c>
      <c r="B8" s="4" t="s">
        <v>34</v>
      </c>
      <c r="C8" t="s">
        <v>47</v>
      </c>
      <c r="D8" t="s">
        <v>37</v>
      </c>
      <c r="E8" t="s">
        <v>38</v>
      </c>
      <c r="F8" t="s">
        <v>39</v>
      </c>
      <c r="G8" t="s">
        <v>47</v>
      </c>
      <c r="H8" t="s">
        <v>37</v>
      </c>
      <c r="I8" t="s">
        <v>40</v>
      </c>
      <c r="K8" t="s">
        <v>48</v>
      </c>
      <c r="L8" t="s">
        <v>49</v>
      </c>
      <c r="M8" t="s">
        <v>43</v>
      </c>
      <c r="N8" t="s">
        <v>30</v>
      </c>
    </row>
    <row r="9" spans="1:16" s="1" customFormat="1" ht="96" x14ac:dyDescent="0.2">
      <c r="A9" s="34"/>
      <c r="B9" s="5" t="s">
        <v>20</v>
      </c>
      <c r="C9" s="1" t="s">
        <v>52</v>
      </c>
      <c r="D9" s="1" t="s">
        <v>53</v>
      </c>
      <c r="E9" s="1" t="s">
        <v>50</v>
      </c>
      <c r="F9" s="1" t="s">
        <v>51</v>
      </c>
    </row>
    <row r="10" spans="1:16" x14ac:dyDescent="0.2">
      <c r="A10" s="34"/>
      <c r="B10" s="4" t="s">
        <v>32</v>
      </c>
      <c r="C10">
        <v>5</v>
      </c>
      <c r="D10">
        <v>20</v>
      </c>
      <c r="E10">
        <v>15</v>
      </c>
      <c r="F10">
        <v>2</v>
      </c>
      <c r="G10">
        <v>5</v>
      </c>
      <c r="H10">
        <v>14</v>
      </c>
      <c r="I10">
        <v>15</v>
      </c>
      <c r="K10">
        <f>2*C10+D10+E10+2*F10</f>
        <v>49</v>
      </c>
      <c r="L10">
        <f>G10*2+H10+I10</f>
        <v>39</v>
      </c>
      <c r="M10">
        <f>L10</f>
        <v>39</v>
      </c>
      <c r="N10">
        <f>K10</f>
        <v>49</v>
      </c>
      <c r="O10">
        <f>N10*M10*0.000001</f>
        <v>1.9109999999999999E-3</v>
      </c>
    </row>
    <row r="11" spans="1:16" x14ac:dyDescent="0.2">
      <c r="A11" s="34" t="s">
        <v>169</v>
      </c>
      <c r="B11" s="4" t="s">
        <v>34</v>
      </c>
      <c r="C11" t="s">
        <v>58</v>
      </c>
      <c r="D11" t="s">
        <v>38</v>
      </c>
      <c r="G11" t="s">
        <v>90</v>
      </c>
      <c r="H11" t="s">
        <v>101</v>
      </c>
      <c r="I11" t="s">
        <v>167</v>
      </c>
      <c r="K11" t="s">
        <v>48</v>
      </c>
      <c r="L11" t="s">
        <v>49</v>
      </c>
      <c r="M11" t="s">
        <v>43</v>
      </c>
      <c r="N11" t="s">
        <v>30</v>
      </c>
    </row>
    <row r="12" spans="1:16" s="1" customFormat="1" ht="48" x14ac:dyDescent="0.2">
      <c r="A12" s="34"/>
      <c r="B12" s="5" t="s">
        <v>20</v>
      </c>
      <c r="C12" s="1" t="s">
        <v>165</v>
      </c>
      <c r="D12" s="1" t="s">
        <v>166</v>
      </c>
      <c r="G12" s="1" t="s">
        <v>168</v>
      </c>
    </row>
    <row r="13" spans="1:16" x14ac:dyDescent="0.2">
      <c r="A13" s="34"/>
      <c r="B13" s="4" t="s">
        <v>32</v>
      </c>
      <c r="C13">
        <v>40</v>
      </c>
      <c r="D13">
        <v>20</v>
      </c>
      <c r="G13">
        <v>17.5</v>
      </c>
      <c r="H13">
        <v>35</v>
      </c>
      <c r="I13">
        <v>20</v>
      </c>
      <c r="K13">
        <f>C13+D13+E13+2*F13</f>
        <v>60</v>
      </c>
      <c r="L13">
        <f>G13*2+H13+I13</f>
        <v>90</v>
      </c>
      <c r="M13">
        <f>K13</f>
        <v>60</v>
      </c>
      <c r="N13">
        <f>L13</f>
        <v>90</v>
      </c>
      <c r="O13">
        <f>N13*M13*0.000001</f>
        <v>5.3999999999999994E-3</v>
      </c>
    </row>
    <row r="27" spans="4:4" x14ac:dyDescent="0.2">
      <c r="D27" t="s">
        <v>94</v>
      </c>
    </row>
    <row r="28" spans="4:4" x14ac:dyDescent="0.2">
      <c r="D28" t="s">
        <v>95</v>
      </c>
    </row>
  </sheetData>
  <mergeCells count="4">
    <mergeCell ref="A2:A4"/>
    <mergeCell ref="A5:A7"/>
    <mergeCell ref="A8:A10"/>
    <mergeCell ref="A11:A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3"/>
  <sheetViews>
    <sheetView zoomScale="78" zoomScaleNormal="130" workbookViewId="0">
      <selection activeCell="D6" sqref="D6:D12"/>
    </sheetView>
  </sheetViews>
  <sheetFormatPr baseColWidth="10" defaultColWidth="8.83203125" defaultRowHeight="15" x14ac:dyDescent="0.2"/>
  <cols>
    <col min="1" max="1" width="11.33203125" style="4" bestFit="1" customWidth="1"/>
    <col min="2" max="2" width="10" style="4" customWidth="1"/>
    <col min="3" max="3" width="16.1640625" customWidth="1"/>
    <col min="5" max="5" width="10.1640625" bestFit="1" customWidth="1"/>
    <col min="6" max="6" width="12.5" customWidth="1"/>
    <col min="7" max="7" width="6.5" customWidth="1"/>
    <col min="8" max="8" width="11" customWidth="1"/>
    <col min="9" max="9" width="16.5" bestFit="1" customWidth="1"/>
    <col min="10" max="10" width="8.1640625" bestFit="1" customWidth="1"/>
    <col min="12" max="12" width="21.1640625" customWidth="1"/>
    <col min="13" max="13" width="17.33203125" bestFit="1" customWidth="1"/>
    <col min="14" max="14" width="17.33203125" customWidth="1"/>
    <col min="15" max="15" width="14.83203125" customWidth="1"/>
    <col min="16" max="16" width="17.33203125" customWidth="1"/>
    <col min="17" max="17" width="16" bestFit="1" customWidth="1"/>
    <col min="18" max="18" width="16" customWidth="1"/>
  </cols>
  <sheetData>
    <row r="1" spans="1:23" s="4" customFormat="1" x14ac:dyDescent="0.2">
      <c r="A1" s="4" t="s">
        <v>0</v>
      </c>
      <c r="B1" s="4" t="s">
        <v>33</v>
      </c>
      <c r="C1" s="4" t="s">
        <v>78</v>
      </c>
      <c r="D1" s="4" t="s">
        <v>77</v>
      </c>
      <c r="E1" s="4" t="s">
        <v>76</v>
      </c>
      <c r="F1" s="4" t="s">
        <v>119</v>
      </c>
      <c r="G1" s="4" t="s">
        <v>96</v>
      </c>
      <c r="H1" s="4" t="s">
        <v>75</v>
      </c>
      <c r="I1" s="4" t="s">
        <v>74</v>
      </c>
      <c r="J1" s="4" t="s">
        <v>171</v>
      </c>
      <c r="K1" s="4" t="s">
        <v>73</v>
      </c>
      <c r="L1" s="4" t="s">
        <v>72</v>
      </c>
      <c r="M1" s="4" t="s">
        <v>70</v>
      </c>
      <c r="N1" s="4" t="s">
        <v>213</v>
      </c>
      <c r="O1" s="4" t="s">
        <v>71</v>
      </c>
      <c r="P1" s="4" t="s">
        <v>205</v>
      </c>
      <c r="Q1" s="4" t="s">
        <v>120</v>
      </c>
      <c r="R1" s="4" t="s">
        <v>86</v>
      </c>
      <c r="S1" s="4" t="s">
        <v>69</v>
      </c>
      <c r="T1" s="4" t="s">
        <v>68</v>
      </c>
      <c r="U1" s="4" t="s">
        <v>122</v>
      </c>
      <c r="V1" s="4" t="s">
        <v>123</v>
      </c>
      <c r="W1" s="4" t="s">
        <v>124</v>
      </c>
    </row>
    <row r="2" spans="1:23" ht="48" x14ac:dyDescent="0.2">
      <c r="A2" s="34" t="s">
        <v>35</v>
      </c>
      <c r="B2" s="4" t="s">
        <v>34</v>
      </c>
      <c r="C2" t="s">
        <v>56</v>
      </c>
      <c r="D2" t="s">
        <v>59</v>
      </c>
      <c r="E2" t="s">
        <v>61</v>
      </c>
      <c r="F2" t="s">
        <v>58</v>
      </c>
      <c r="H2" t="s">
        <v>62</v>
      </c>
      <c r="I2" t="s">
        <v>63</v>
      </c>
      <c r="K2" t="s">
        <v>64</v>
      </c>
      <c r="L2" s="1" t="s">
        <v>66</v>
      </c>
      <c r="M2" s="3" t="s">
        <v>79</v>
      </c>
      <c r="N2" s="3"/>
      <c r="O2" s="1" t="s">
        <v>80</v>
      </c>
      <c r="P2" s="3"/>
      <c r="Q2" t="s">
        <v>81</v>
      </c>
      <c r="R2" t="s">
        <v>87</v>
      </c>
      <c r="S2" t="s">
        <v>82</v>
      </c>
    </row>
    <row r="3" spans="1:23" s="1" customFormat="1" ht="80" x14ac:dyDescent="0.2">
      <c r="A3" s="34"/>
      <c r="B3" s="5" t="s">
        <v>20</v>
      </c>
      <c r="C3" s="1" t="s">
        <v>57</v>
      </c>
      <c r="D3" s="1" t="s">
        <v>60</v>
      </c>
      <c r="F3" s="1" t="s">
        <v>65</v>
      </c>
      <c r="H3" s="7"/>
      <c r="Q3" s="1" t="s">
        <v>67</v>
      </c>
      <c r="R3" s="1" t="s">
        <v>88</v>
      </c>
    </row>
    <row r="4" spans="1:23" x14ac:dyDescent="0.2">
      <c r="A4" s="34"/>
      <c r="B4" s="4" t="s">
        <v>32</v>
      </c>
      <c r="C4">
        <f>MAX(Geometricals!H4,20)</f>
        <v>20</v>
      </c>
      <c r="D4" s="6">
        <v>9.9999999999999995E-7</v>
      </c>
      <c r="E4" s="6">
        <f>C4+D4</f>
        <v>20.000001000000001</v>
      </c>
      <c r="F4" s="6">
        <f>2*50-4*D4+Geometricals!C4</f>
        <v>109.999996</v>
      </c>
      <c r="G4" s="8">
        <f>F4/2/Geometricals!C4</f>
        <v>5.4999997999999994</v>
      </c>
      <c r="H4">
        <f>'Array Construct'!F22</f>
        <v>35</v>
      </c>
      <c r="I4" s="2">
        <f>0.00000000000885*22/10000/0.000000007</f>
        <v>2.7814285714285717E-6</v>
      </c>
      <c r="J4" s="2">
        <f>I4*F4*C4*0.00000000000001</f>
        <v>6.1191426346285716E-17</v>
      </c>
      <c r="K4">
        <v>1.2</v>
      </c>
      <c r="L4">
        <f>(H4*I4*K4)^-1 *((F4/C4)^-1 + ((F4+2*D4)/D4)^-1)</f>
        <v>1556.3961438166546</v>
      </c>
      <c r="M4" s="2">
        <v>1.9999999999999999E-7</v>
      </c>
      <c r="N4" s="2">
        <f>M4*100000000/O4</f>
        <v>2.1999999199999996E-3</v>
      </c>
      <c r="O4">
        <f>M4/(F4*0.0000001*Geometricals!G4*0.0000001)</f>
        <v>9090.9094214876168</v>
      </c>
      <c r="P4" s="2">
        <f>L4+2*O4</f>
        <v>19738.214986791889</v>
      </c>
      <c r="Q4">
        <f>0.5/(L4+2*O4)</f>
        <v>2.5331571286186833E-5</v>
      </c>
      <c r="R4">
        <v>2</v>
      </c>
      <c r="S4" s="2">
        <f>I4*F4*0.0000001*R4*0.0000001</f>
        <v>6.1191426346285714E-18</v>
      </c>
    </row>
    <row r="5" spans="1:23" ht="32" x14ac:dyDescent="0.2">
      <c r="A5" s="34" t="s">
        <v>36</v>
      </c>
      <c r="B5" s="4" t="s">
        <v>34</v>
      </c>
      <c r="C5" t="s">
        <v>56</v>
      </c>
      <c r="F5" s="1" t="s">
        <v>84</v>
      </c>
      <c r="G5" s="1"/>
      <c r="L5" s="1" t="s">
        <v>93</v>
      </c>
      <c r="R5" t="s">
        <v>90</v>
      </c>
    </row>
    <row r="6" spans="1:23" s="1" customFormat="1" ht="48" x14ac:dyDescent="0.2">
      <c r="A6" s="34"/>
      <c r="B6" s="5" t="s">
        <v>20</v>
      </c>
      <c r="C6" s="1" t="s">
        <v>85</v>
      </c>
      <c r="R6" s="1" t="s">
        <v>89</v>
      </c>
    </row>
    <row r="7" spans="1:23" x14ac:dyDescent="0.2">
      <c r="A7" s="34"/>
      <c r="B7" s="4" t="s">
        <v>32</v>
      </c>
      <c r="C7">
        <v>40</v>
      </c>
      <c r="F7">
        <f>PI()*Geometricals!C7-2*2</f>
        <v>71.398223686155035</v>
      </c>
      <c r="G7">
        <f>(C7+20)/Geometricals!C7</f>
        <v>2.5</v>
      </c>
      <c r="H7">
        <f>'Array Construct'!G22</f>
        <v>35</v>
      </c>
      <c r="I7" s="2">
        <f>0.00000000000885*22/10000/0.000000007</f>
        <v>2.7814285714285717E-6</v>
      </c>
      <c r="J7" s="2">
        <f>I7*F7*C7*0.00000000000001</f>
        <v>7.9435623723967912E-17</v>
      </c>
      <c r="K7">
        <v>1.2</v>
      </c>
      <c r="L7">
        <f>(H4*I4*K4)^-1 *(C7/F7)</f>
        <v>4795.737266143441</v>
      </c>
      <c r="M7" s="2">
        <v>1.9999999999999999E-7</v>
      </c>
      <c r="N7" s="2">
        <f>M7*100000000/O7</f>
        <v>1.4279644737231006E-3</v>
      </c>
      <c r="O7">
        <f>M7/(F7*0.0000001*R7*0.0000001)</f>
        <v>14005.950685771921</v>
      </c>
      <c r="P7" s="2">
        <f>L7+2*O7</f>
        <v>32807.638637687283</v>
      </c>
      <c r="Q7">
        <f>0.5/(L7+2*O7)</f>
        <v>1.5240353184871785E-5</v>
      </c>
      <c r="R7">
        <v>20</v>
      </c>
      <c r="S7" s="2">
        <f>0.00000000000885*18/0.000000007*F7*20*0.000000000000000001</f>
        <v>3.249639152344142E-17</v>
      </c>
    </row>
    <row r="8" spans="1:23" ht="16" x14ac:dyDescent="0.2">
      <c r="A8" s="34" t="s">
        <v>55</v>
      </c>
      <c r="B8" s="4" t="s">
        <v>34</v>
      </c>
      <c r="C8" t="s">
        <v>56</v>
      </c>
      <c r="H8" t="s">
        <v>62</v>
      </c>
      <c r="L8" s="1" t="s">
        <v>93</v>
      </c>
      <c r="R8" t="s">
        <v>91</v>
      </c>
    </row>
    <row r="9" spans="1:23" s="1" customFormat="1" ht="48" x14ac:dyDescent="0.2">
      <c r="A9" s="34"/>
      <c r="B9" s="5" t="s">
        <v>20</v>
      </c>
      <c r="C9" s="1" t="s">
        <v>85</v>
      </c>
      <c r="F9" s="1" t="s">
        <v>83</v>
      </c>
    </row>
    <row r="10" spans="1:23" x14ac:dyDescent="0.2">
      <c r="A10" s="34"/>
      <c r="B10" s="4" t="s">
        <v>32</v>
      </c>
      <c r="C10">
        <v>40</v>
      </c>
      <c r="F10">
        <f>PI()*Geometricals!D10</f>
        <v>62.831853071795862</v>
      </c>
      <c r="G10" s="8">
        <f>C10/Geometricals!H10</f>
        <v>2.8571428571428572</v>
      </c>
      <c r="H10">
        <f>'Array Construct'!G22</f>
        <v>35</v>
      </c>
      <c r="I10" s="2">
        <f>0.00000000000885*22/10000/0.000000007</f>
        <v>2.7814285714285717E-6</v>
      </c>
      <c r="J10" s="2">
        <f>I10*F10*C10*0.00000000000001</f>
        <v>6.9904924531878032E-17</v>
      </c>
      <c r="K10">
        <v>1.2</v>
      </c>
      <c r="L10">
        <f>(H10*I10*K10)^-1 *(C10/F10)</f>
        <v>5449.5786027014328</v>
      </c>
      <c r="M10" s="2">
        <v>1.9999999999999999E-7</v>
      </c>
      <c r="N10" s="2">
        <f>M10*100000000/O10</f>
        <v>3.1415926535897936E-4</v>
      </c>
      <c r="O10" s="9">
        <f>M10/(PI()*Geometricals!D10^2*0.00000000000001/4)</f>
        <v>63661.977236758132</v>
      </c>
      <c r="P10" s="2">
        <f>L10+2*O10</f>
        <v>132773.53307621769</v>
      </c>
      <c r="Q10" s="9">
        <f>0.5/(L10+2*O10)</f>
        <v>3.7658107637534856E-6</v>
      </c>
      <c r="R10">
        <v>10</v>
      </c>
      <c r="S10" s="2">
        <f>I10*F10*R10*0.1*0.00000000000001</f>
        <v>1.747623113296951E-18</v>
      </c>
    </row>
    <row r="11" spans="1:23" ht="16" x14ac:dyDescent="0.2">
      <c r="A11" s="34" t="s">
        <v>169</v>
      </c>
      <c r="B11" s="4" t="s">
        <v>34</v>
      </c>
      <c r="C11" t="s">
        <v>56</v>
      </c>
      <c r="H11" t="s">
        <v>62</v>
      </c>
      <c r="L11" s="1" t="s">
        <v>93</v>
      </c>
      <c r="R11" t="s">
        <v>91</v>
      </c>
    </row>
    <row r="12" spans="1:23" s="1" customFormat="1" ht="48" x14ac:dyDescent="0.2">
      <c r="A12" s="34"/>
      <c r="B12" s="5" t="s">
        <v>20</v>
      </c>
      <c r="C12" s="1" t="s">
        <v>170</v>
      </c>
      <c r="F12" s="1" t="s">
        <v>83</v>
      </c>
    </row>
    <row r="13" spans="1:23" x14ac:dyDescent="0.2">
      <c r="A13" s="34"/>
      <c r="B13" s="4" t="s">
        <v>32</v>
      </c>
      <c r="C13">
        <f>Geometricals!H13</f>
        <v>35</v>
      </c>
      <c r="F13">
        <f>Geometricals!C13</f>
        <v>40</v>
      </c>
      <c r="G13" s="8">
        <f>C13/Geometricals!H13</f>
        <v>1</v>
      </c>
      <c r="H13">
        <f>'Array Construct'!D22</f>
        <v>35</v>
      </c>
      <c r="I13" s="2">
        <f>0.00000000000885*22/10000/0.000000007</f>
        <v>2.7814285714285717E-6</v>
      </c>
      <c r="J13" s="2">
        <f>I13*F13*C13*0.00000000000001</f>
        <v>3.8940000000000004E-17</v>
      </c>
      <c r="K13">
        <v>1.2</v>
      </c>
      <c r="L13">
        <f>(H13*I13*K13)^-1 *(C13/F13)</f>
        <v>7490.1557952405401</v>
      </c>
      <c r="M13" s="2">
        <v>1.9999999999999999E-7</v>
      </c>
      <c r="N13" s="2">
        <f>M13*100000000/O13</f>
        <v>7.000000000000001E-4</v>
      </c>
      <c r="O13" s="9">
        <f>M13/(Geometricals!G13*Geometricals!C13*0.00000000000001)</f>
        <v>28571.428571428569</v>
      </c>
      <c r="P13" s="2">
        <f>L13+2*O13</f>
        <v>64633.01293809768</v>
      </c>
      <c r="Q13" s="9">
        <f>0.5/(L13+2*O13)</f>
        <v>7.7359847123152908E-6</v>
      </c>
      <c r="R13">
        <v>10</v>
      </c>
      <c r="S13" s="2">
        <f>I13*F13*R13*0.1*0.00000000000001</f>
        <v>1.1125714285714288E-18</v>
      </c>
    </row>
  </sheetData>
  <mergeCells count="4">
    <mergeCell ref="A2:A4"/>
    <mergeCell ref="A5:A7"/>
    <mergeCell ref="A8:A10"/>
    <mergeCell ref="A11:A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"/>
  <sheetViews>
    <sheetView topLeftCell="A10" workbookViewId="0">
      <selection activeCell="H34" sqref="H34"/>
    </sheetView>
  </sheetViews>
  <sheetFormatPr baseColWidth="10" defaultColWidth="8.83203125" defaultRowHeight="15" x14ac:dyDescent="0.2"/>
  <cols>
    <col min="1" max="1" width="20.83203125" style="32" bestFit="1" customWidth="1"/>
    <col min="2" max="3" width="19.5" style="14" bestFit="1" customWidth="1"/>
    <col min="4" max="4" width="19.5" style="14" customWidth="1"/>
    <col min="5" max="5" width="18.83203125" style="14" bestFit="1" customWidth="1"/>
    <col min="6" max="6" width="18.1640625" style="14" customWidth="1"/>
    <col min="7" max="8" width="19.83203125" style="14" bestFit="1" customWidth="1"/>
  </cols>
  <sheetData>
    <row r="1" spans="1:9" s="32" customFormat="1" ht="16" x14ac:dyDescent="0.2">
      <c r="A1" s="29"/>
      <c r="B1" s="33" t="s">
        <v>144</v>
      </c>
      <c r="C1" s="33" t="s">
        <v>125</v>
      </c>
      <c r="D1" s="33" t="s">
        <v>156</v>
      </c>
      <c r="E1" s="33" t="s">
        <v>208</v>
      </c>
      <c r="F1" s="33" t="s">
        <v>35</v>
      </c>
      <c r="G1" s="33" t="s">
        <v>126</v>
      </c>
      <c r="H1" s="33" t="s">
        <v>127</v>
      </c>
      <c r="I1" s="30"/>
    </row>
    <row r="2" spans="1:9" ht="16" x14ac:dyDescent="0.2">
      <c r="A2" s="30" t="s">
        <v>173</v>
      </c>
      <c r="B2" s="17" t="s">
        <v>128</v>
      </c>
      <c r="C2" s="17" t="s">
        <v>128</v>
      </c>
      <c r="D2" s="17" t="s">
        <v>128</v>
      </c>
      <c r="E2" s="17" t="s">
        <v>128</v>
      </c>
      <c r="F2" s="17" t="s">
        <v>129</v>
      </c>
      <c r="G2" s="17" t="s">
        <v>129</v>
      </c>
      <c r="H2" s="17" t="s">
        <v>129</v>
      </c>
      <c r="I2" s="13"/>
    </row>
    <row r="3" spans="1:9" ht="16" x14ac:dyDescent="0.2">
      <c r="A3" s="35" t="s">
        <v>130</v>
      </c>
      <c r="B3" s="19">
        <v>54</v>
      </c>
      <c r="C3" s="19">
        <v>108</v>
      </c>
      <c r="D3" s="19">
        <f>Geometricals!M13</f>
        <v>60</v>
      </c>
      <c r="E3" s="19">
        <v>32.4</v>
      </c>
      <c r="F3" s="19">
        <v>34</v>
      </c>
      <c r="G3" s="19">
        <v>39</v>
      </c>
      <c r="H3" s="19">
        <v>39</v>
      </c>
      <c r="I3" s="13"/>
    </row>
    <row r="4" spans="1:9" ht="16" x14ac:dyDescent="0.2">
      <c r="A4" s="35"/>
      <c r="B4" s="20" t="s">
        <v>172</v>
      </c>
      <c r="C4" s="20" t="s">
        <v>172</v>
      </c>
      <c r="D4" s="20" t="s">
        <v>172</v>
      </c>
      <c r="E4" s="20" t="s">
        <v>207</v>
      </c>
      <c r="F4" s="20" t="s">
        <v>207</v>
      </c>
      <c r="G4" s="20" t="s">
        <v>207</v>
      </c>
      <c r="H4" s="20" t="s">
        <v>207</v>
      </c>
      <c r="I4" s="13"/>
    </row>
    <row r="5" spans="1:9" ht="16" x14ac:dyDescent="0.2">
      <c r="A5" s="35" t="s">
        <v>131</v>
      </c>
      <c r="B5" s="19">
        <v>34</v>
      </c>
      <c r="C5" s="19">
        <v>20</v>
      </c>
      <c r="D5" s="19">
        <f>Geometricals!D13</f>
        <v>20</v>
      </c>
      <c r="E5" s="19">
        <f>E3-12</f>
        <v>20.399999999999999</v>
      </c>
      <c r="F5" s="19">
        <v>24</v>
      </c>
      <c r="G5" s="19">
        <v>15</v>
      </c>
      <c r="H5" s="19">
        <v>15</v>
      </c>
      <c r="I5" s="13"/>
    </row>
    <row r="6" spans="1:9" ht="16" x14ac:dyDescent="0.2">
      <c r="A6" s="35"/>
      <c r="B6" s="18"/>
      <c r="C6" s="18"/>
      <c r="D6" s="18"/>
      <c r="E6" s="18"/>
      <c r="F6" s="18"/>
      <c r="G6" s="18"/>
      <c r="H6" s="18"/>
      <c r="I6" s="13"/>
    </row>
    <row r="7" spans="1:9" ht="16" x14ac:dyDescent="0.2">
      <c r="A7" s="35" t="s">
        <v>132</v>
      </c>
      <c r="B7" s="19" t="s">
        <v>140</v>
      </c>
      <c r="C7" s="19" t="s">
        <v>145</v>
      </c>
      <c r="D7" s="19" t="s">
        <v>164</v>
      </c>
      <c r="E7" s="19" t="s">
        <v>220</v>
      </c>
      <c r="F7" s="19" t="s">
        <v>150</v>
      </c>
      <c r="G7" s="19" t="s">
        <v>152</v>
      </c>
      <c r="H7" s="19" t="s">
        <v>153</v>
      </c>
      <c r="I7" s="13"/>
    </row>
    <row r="8" spans="1:9" ht="16" x14ac:dyDescent="0.2">
      <c r="A8" s="35"/>
      <c r="B8" s="18"/>
      <c r="C8" s="18"/>
      <c r="D8" s="18"/>
      <c r="E8" s="18"/>
      <c r="F8" s="18" t="s">
        <v>151</v>
      </c>
      <c r="G8" s="18"/>
      <c r="H8" s="18"/>
      <c r="I8" s="13"/>
    </row>
    <row r="9" spans="1:9" ht="16" x14ac:dyDescent="0.2">
      <c r="A9" s="35" t="s">
        <v>133</v>
      </c>
      <c r="B9" s="19">
        <v>128</v>
      </c>
      <c r="C9" s="19">
        <v>128</v>
      </c>
      <c r="D9" s="19">
        <v>128</v>
      </c>
      <c r="E9" s="19">
        <v>1024</v>
      </c>
      <c r="F9" s="19">
        <v>128</v>
      </c>
      <c r="G9" s="19">
        <v>128</v>
      </c>
      <c r="H9" s="19">
        <v>128</v>
      </c>
      <c r="I9" s="13"/>
    </row>
    <row r="10" spans="1:9" ht="16" x14ac:dyDescent="0.2">
      <c r="A10" s="35"/>
      <c r="B10" s="21" t="s">
        <v>143</v>
      </c>
      <c r="C10" s="21" t="s">
        <v>206</v>
      </c>
      <c r="D10" s="21" t="s">
        <v>203</v>
      </c>
      <c r="E10" s="21" t="s">
        <v>209</v>
      </c>
      <c r="F10" s="21" t="s">
        <v>203</v>
      </c>
      <c r="G10" s="21" t="s">
        <v>203</v>
      </c>
      <c r="H10" s="21" t="s">
        <v>203</v>
      </c>
      <c r="I10" s="13"/>
    </row>
    <row r="11" spans="1:9" ht="16" x14ac:dyDescent="0.2">
      <c r="A11" s="35" t="s">
        <v>134</v>
      </c>
      <c r="B11" s="19">
        <v>1024</v>
      </c>
      <c r="C11" s="19">
        <v>1024</v>
      </c>
      <c r="D11" s="19">
        <v>1024</v>
      </c>
      <c r="E11" s="19">
        <v>1024</v>
      </c>
      <c r="F11" s="19">
        <v>1024</v>
      </c>
      <c r="G11" s="19">
        <v>1024</v>
      </c>
      <c r="H11" s="19">
        <v>1024</v>
      </c>
      <c r="I11" s="13"/>
    </row>
    <row r="12" spans="1:9" ht="16" x14ac:dyDescent="0.2">
      <c r="A12" s="35"/>
      <c r="B12" s="21" t="s">
        <v>143</v>
      </c>
      <c r="C12" s="21" t="s">
        <v>206</v>
      </c>
      <c r="D12" s="21" t="s">
        <v>203</v>
      </c>
      <c r="E12" s="21" t="s">
        <v>209</v>
      </c>
      <c r="F12" s="21" t="s">
        <v>203</v>
      </c>
      <c r="G12" s="21" t="s">
        <v>203</v>
      </c>
      <c r="H12" s="21" t="s">
        <v>203</v>
      </c>
      <c r="I12" s="13"/>
    </row>
    <row r="13" spans="1:9" ht="16" x14ac:dyDescent="0.2">
      <c r="A13" s="35" t="s">
        <v>154</v>
      </c>
      <c r="B13" s="24">
        <f>60/1024*0.000000000000001</f>
        <v>5.8593750000000009E-17</v>
      </c>
      <c r="C13" s="24">
        <f>300/1024*0.000000000000001</f>
        <v>2.9296875000000003E-16</v>
      </c>
      <c r="D13" s="24">
        <f>'WL metrics'!J13</f>
        <v>4.8734E-17</v>
      </c>
      <c r="E13" s="24">
        <f>0.000000000000021/E11</f>
        <v>2.0507812499999999E-17</v>
      </c>
      <c r="F13" s="24">
        <f>'WL metrics'!J4</f>
        <v>6.3450283489142852E-17</v>
      </c>
      <c r="G13" s="24">
        <f>'WL metrics'!J7</f>
        <v>8.3283603723967909E-17</v>
      </c>
      <c r="H13" s="24">
        <f>'WL metrics'!J10</f>
        <v>7.9238724531878034E-17</v>
      </c>
      <c r="I13" s="13"/>
    </row>
    <row r="14" spans="1:9" ht="16" x14ac:dyDescent="0.2">
      <c r="A14" s="35"/>
      <c r="B14" s="21" t="s">
        <v>143</v>
      </c>
      <c r="C14" s="21" t="s">
        <v>206</v>
      </c>
      <c r="D14" s="21" t="s">
        <v>203</v>
      </c>
      <c r="E14" s="21" t="s">
        <v>209</v>
      </c>
      <c r="F14" s="21" t="s">
        <v>203</v>
      </c>
      <c r="G14" s="21" t="s">
        <v>203</v>
      </c>
      <c r="H14" s="21" t="s">
        <v>203</v>
      </c>
      <c r="I14" s="13"/>
    </row>
    <row r="15" spans="1:9" ht="16" x14ac:dyDescent="0.2">
      <c r="A15" s="35" t="s">
        <v>155</v>
      </c>
      <c r="B15" s="19">
        <f>21/128*0.000000000000001</f>
        <v>1.6406250000000002E-16</v>
      </c>
      <c r="C15" s="19">
        <f>16/128*0.000000000000001</f>
        <v>1.2500000000000001E-16</v>
      </c>
      <c r="D15" s="24">
        <f>'BL metrics'!L13</f>
        <v>4.4840000000000002E-18</v>
      </c>
      <c r="E15" s="19">
        <f>24/824*0.000000000000001</f>
        <v>2.912621359223301E-17</v>
      </c>
      <c r="F15" s="24">
        <f>'BL metrics'!L4</f>
        <v>1.184214263462857E-17</v>
      </c>
      <c r="G15" s="24">
        <f>'BL metrics'!L7</f>
        <v>3.8061271523441421E-17</v>
      </c>
      <c r="H15" s="24">
        <f>'BL metrics'!L10</f>
        <v>8.7686231132969513E-18</v>
      </c>
      <c r="I15" s="13"/>
    </row>
    <row r="16" spans="1:9" ht="16" x14ac:dyDescent="0.2">
      <c r="A16" s="35"/>
      <c r="B16" s="21" t="s">
        <v>143</v>
      </c>
      <c r="C16" s="21" t="s">
        <v>206</v>
      </c>
      <c r="D16" s="21" t="s">
        <v>203</v>
      </c>
      <c r="E16" s="21" t="s">
        <v>209</v>
      </c>
      <c r="F16" s="21" t="s">
        <v>203</v>
      </c>
      <c r="G16" s="21" t="s">
        <v>203</v>
      </c>
      <c r="H16" s="21" t="s">
        <v>203</v>
      </c>
      <c r="I16" s="13"/>
    </row>
    <row r="17" spans="1:8" x14ac:dyDescent="0.2">
      <c r="A17" s="35" t="s">
        <v>135</v>
      </c>
      <c r="B17" s="25">
        <f>0.25/0.000015</f>
        <v>16666.666666666668</v>
      </c>
      <c r="C17" s="25">
        <f>0.25/0.00001</f>
        <v>24999.999999999996</v>
      </c>
      <c r="D17" s="25">
        <f>Electricals!P13</f>
        <v>64633.01293809768</v>
      </c>
      <c r="E17" s="25">
        <v>70000</v>
      </c>
      <c r="F17" s="25">
        <f>Electricals!P4</f>
        <v>19738.214986791889</v>
      </c>
      <c r="G17" s="25">
        <f>Electricals!P7</f>
        <v>32807.638637687283</v>
      </c>
      <c r="H17" s="25">
        <f>Electricals!P10</f>
        <v>132773.53307621769</v>
      </c>
    </row>
    <row r="18" spans="1:8" x14ac:dyDescent="0.2">
      <c r="A18" s="35"/>
      <c r="B18" s="21" t="s">
        <v>142</v>
      </c>
      <c r="C18" s="21" t="s">
        <v>146</v>
      </c>
      <c r="D18" s="21" t="s">
        <v>204</v>
      </c>
      <c r="E18" s="21" t="s">
        <v>218</v>
      </c>
      <c r="F18" s="21" t="s">
        <v>204</v>
      </c>
      <c r="G18" s="21" t="s">
        <v>204</v>
      </c>
      <c r="H18" s="21" t="s">
        <v>204</v>
      </c>
    </row>
    <row r="19" spans="1:8" x14ac:dyDescent="0.2">
      <c r="A19" s="35" t="s">
        <v>136</v>
      </c>
      <c r="B19" s="25">
        <v>1.3E-14</v>
      </c>
      <c r="C19" s="25">
        <v>8.0000000000000006E-15</v>
      </c>
      <c r="D19" s="25">
        <v>8.0000000000000006E-15</v>
      </c>
      <c r="E19" s="25">
        <v>1.6000000000000001E-14</v>
      </c>
      <c r="F19" s="25">
        <v>8.0000000000000006E-15</v>
      </c>
      <c r="G19" s="25">
        <v>8.0000000000000006E-15</v>
      </c>
      <c r="H19" s="25">
        <v>8.0000000000000006E-15</v>
      </c>
    </row>
    <row r="20" spans="1:8" x14ac:dyDescent="0.2">
      <c r="A20" s="35"/>
      <c r="B20" s="21" t="s">
        <v>203</v>
      </c>
      <c r="C20" s="21" t="s">
        <v>203</v>
      </c>
      <c r="D20" s="21" t="s">
        <v>203</v>
      </c>
      <c r="E20" s="21" t="s">
        <v>203</v>
      </c>
      <c r="F20" s="21" t="s">
        <v>203</v>
      </c>
      <c r="G20" s="21" t="s">
        <v>203</v>
      </c>
      <c r="H20" s="21" t="s">
        <v>203</v>
      </c>
    </row>
    <row r="21" spans="1:8" ht="16" x14ac:dyDescent="0.2">
      <c r="A21" s="31" t="s">
        <v>217</v>
      </c>
      <c r="B21" s="26">
        <v>100</v>
      </c>
      <c r="C21" s="26">
        <v>100</v>
      </c>
      <c r="D21" s="27">
        <f>'BL metrics'!V13</f>
        <v>160.57475251051324</v>
      </c>
      <c r="E21" s="26">
        <v>100</v>
      </c>
      <c r="F21" s="27">
        <f>'BL metrics'!V4</f>
        <v>146.70757750559449</v>
      </c>
      <c r="G21" s="27">
        <f>'BL metrics'!V7</f>
        <v>112.18546377109273</v>
      </c>
      <c r="H21" s="27">
        <f>'BL metrics'!V10</f>
        <v>152.1977598523313</v>
      </c>
    </row>
    <row r="22" spans="1:8" x14ac:dyDescent="0.2">
      <c r="A22" s="35" t="s">
        <v>137</v>
      </c>
      <c r="B22" s="26" t="s">
        <v>147</v>
      </c>
      <c r="C22" s="26">
        <v>35</v>
      </c>
      <c r="D22" s="26">
        <v>35</v>
      </c>
      <c r="E22" s="26">
        <v>90</v>
      </c>
      <c r="F22" s="26">
        <v>35</v>
      </c>
      <c r="G22" s="26">
        <v>35</v>
      </c>
      <c r="H22" s="26">
        <v>35</v>
      </c>
    </row>
    <row r="23" spans="1:8" x14ac:dyDescent="0.2">
      <c r="A23" s="35"/>
      <c r="B23" s="21" t="s">
        <v>141</v>
      </c>
      <c r="C23" s="21" t="s">
        <v>141</v>
      </c>
      <c r="D23" s="21" t="s">
        <v>141</v>
      </c>
      <c r="E23" s="21" t="s">
        <v>141</v>
      </c>
      <c r="F23" s="21" t="s">
        <v>141</v>
      </c>
      <c r="G23" s="21" t="s">
        <v>141</v>
      </c>
      <c r="H23" s="21" t="s">
        <v>141</v>
      </c>
    </row>
    <row r="24" spans="1:8" x14ac:dyDescent="0.2">
      <c r="A24" s="35" t="s">
        <v>101</v>
      </c>
      <c r="B24" s="26">
        <v>40</v>
      </c>
      <c r="C24" s="26">
        <v>40</v>
      </c>
      <c r="D24" s="26">
        <f>Electricals!C13</f>
        <v>35</v>
      </c>
      <c r="E24" s="26">
        <v>120</v>
      </c>
      <c r="F24" s="26">
        <f>Electricals!C4</f>
        <v>20</v>
      </c>
      <c r="G24" s="26">
        <f>Electricals!C7</f>
        <v>40</v>
      </c>
      <c r="H24" s="26">
        <f>Electricals!C10</f>
        <v>40</v>
      </c>
    </row>
    <row r="25" spans="1:8" x14ac:dyDescent="0.2">
      <c r="A25" s="35"/>
      <c r="B25" s="21" t="s">
        <v>143</v>
      </c>
      <c r="C25" s="21" t="s">
        <v>206</v>
      </c>
      <c r="D25" s="21" t="s">
        <v>204</v>
      </c>
      <c r="E25" s="21" t="s">
        <v>221</v>
      </c>
      <c r="F25" s="21" t="s">
        <v>204</v>
      </c>
      <c r="G25" s="21" t="s">
        <v>204</v>
      </c>
      <c r="H25" s="21" t="s">
        <v>204</v>
      </c>
    </row>
    <row r="26" spans="1:8" x14ac:dyDescent="0.2">
      <c r="A26" s="35" t="s">
        <v>58</v>
      </c>
      <c r="B26" s="27">
        <v>90</v>
      </c>
      <c r="C26" s="27">
        <v>73</v>
      </c>
      <c r="D26" s="27">
        <f>Electricals!F13</f>
        <v>40</v>
      </c>
      <c r="E26" s="27">
        <v>80</v>
      </c>
      <c r="F26" s="27">
        <f>Electricals!F4</f>
        <v>109.999996</v>
      </c>
      <c r="G26" s="27">
        <f>Electricals!F7</f>
        <v>71.398223686155035</v>
      </c>
      <c r="H26" s="27">
        <f>Electricals!F10</f>
        <v>62.831853071795862</v>
      </c>
    </row>
    <row r="27" spans="1:8" x14ac:dyDescent="0.2">
      <c r="A27" s="35"/>
      <c r="B27" s="21" t="s">
        <v>143</v>
      </c>
      <c r="C27" s="21" t="s">
        <v>206</v>
      </c>
      <c r="D27" s="21" t="s">
        <v>212</v>
      </c>
      <c r="E27" s="21" t="s">
        <v>222</v>
      </c>
      <c r="F27" s="21" t="s">
        <v>211</v>
      </c>
      <c r="G27" s="21" t="s">
        <v>210</v>
      </c>
      <c r="H27" s="21" t="s">
        <v>210</v>
      </c>
    </row>
    <row r="28" spans="1:8" x14ac:dyDescent="0.2">
      <c r="A28" s="35" t="s">
        <v>138</v>
      </c>
      <c r="B28" s="25">
        <f>0.09*0.022</f>
        <v>1.98E-3</v>
      </c>
      <c r="C28" s="25">
        <f>0.073*0.0275</f>
        <v>2.0074999999999997E-3</v>
      </c>
      <c r="D28" s="25">
        <f>Electricals!N13</f>
        <v>7.000000000000001E-4</v>
      </c>
      <c r="E28" s="25">
        <f>0.02*0.04</f>
        <v>8.0000000000000004E-4</v>
      </c>
      <c r="F28" s="25">
        <f>Electricals!N4</f>
        <v>2.1999999199999996E-3</v>
      </c>
      <c r="G28" s="25">
        <f>Electricals!N7</f>
        <v>1.4279644737231006E-3</v>
      </c>
      <c r="H28" s="25">
        <f>Electricals!N10</f>
        <v>3.1415926535897936E-4</v>
      </c>
    </row>
    <row r="29" spans="1:8" s="1" customFormat="1" ht="30" x14ac:dyDescent="0.2">
      <c r="A29" s="35"/>
      <c r="B29" s="23" t="s">
        <v>149</v>
      </c>
      <c r="C29" s="23" t="s">
        <v>148</v>
      </c>
      <c r="D29" s="23" t="s">
        <v>216</v>
      </c>
      <c r="E29" s="23" t="s">
        <v>223</v>
      </c>
      <c r="F29" s="23" t="s">
        <v>215</v>
      </c>
      <c r="G29" s="23" t="s">
        <v>214</v>
      </c>
      <c r="H29" s="23" t="s">
        <v>214</v>
      </c>
    </row>
    <row r="30" spans="1:8" x14ac:dyDescent="0.2">
      <c r="A30" s="35" t="s">
        <v>139</v>
      </c>
      <c r="B30" s="25">
        <v>7000</v>
      </c>
      <c r="C30" s="25">
        <v>15000</v>
      </c>
      <c r="D30" s="25">
        <f>Electricals!O13</f>
        <v>28571.428571428569</v>
      </c>
      <c r="E30" s="25">
        <v>10000</v>
      </c>
      <c r="F30" s="25">
        <f>Electricals!O4</f>
        <v>9090.9094214876168</v>
      </c>
      <c r="G30" s="25">
        <f>Electricals!O7</f>
        <v>14005.950685771921</v>
      </c>
      <c r="H30" s="25">
        <f>Electricals!O10</f>
        <v>63661.977236758132</v>
      </c>
    </row>
    <row r="31" spans="1:8" x14ac:dyDescent="0.2">
      <c r="A31" s="35"/>
      <c r="B31" s="21" t="s">
        <v>143</v>
      </c>
      <c r="C31" s="21" t="s">
        <v>206</v>
      </c>
      <c r="D31" s="21" t="s">
        <v>204</v>
      </c>
      <c r="E31" s="22" t="s">
        <v>226</v>
      </c>
      <c r="F31" s="21" t="s">
        <v>204</v>
      </c>
      <c r="G31" s="21" t="s">
        <v>204</v>
      </c>
      <c r="H31" s="21" t="s">
        <v>204</v>
      </c>
    </row>
    <row r="32" spans="1:8" ht="16" x14ac:dyDescent="0.2">
      <c r="A32" s="31" t="s">
        <v>157</v>
      </c>
      <c r="B32" s="25">
        <v>3.4999999999999999E-9</v>
      </c>
      <c r="C32" s="25">
        <v>6.5000000000000003E-9</v>
      </c>
      <c r="D32" s="25">
        <f>'WL metrics'!N13+'BL metrics'!Q13*3+0.0000000025</f>
        <v>4.3246666049324675E-9</v>
      </c>
      <c r="E32" s="28">
        <v>1.4999999999999999E-8</v>
      </c>
      <c r="F32" s="25">
        <f>'WL metrics'!N4+'BL metrics'!Q4*3+0.0000000025</f>
        <v>4.2597628965060225E-9</v>
      </c>
      <c r="G32" s="25">
        <f>'WL metrics'!N7+'BL metrics'!Q7*3+0.0000000025</f>
        <v>3.3618438866081056E-9</v>
      </c>
      <c r="H32" s="25">
        <f>'WL metrics'!N10+'BL metrics'!Q10*3+0.0000000025</f>
        <v>7.0589348521336094E-9</v>
      </c>
    </row>
    <row r="33" spans="1:8" ht="16" x14ac:dyDescent="0.2">
      <c r="A33" s="31" t="s">
        <v>232</v>
      </c>
      <c r="B33" s="25">
        <v>8.9999999999999995E-9</v>
      </c>
      <c r="C33" s="25">
        <v>1.4999999999999999E-8</v>
      </c>
      <c r="D33" s="25">
        <f>'WL metrics'!N13*2+'BL metrics'!Q13*3+'BL metrics'!P13+0.0000000035</f>
        <v>1.4113474024663463E-8</v>
      </c>
      <c r="E33" s="28">
        <v>4.9999999999999998E-8</v>
      </c>
      <c r="F33" s="25">
        <f>'WL metrics'!N4*2+'BL metrics'!Q4*3+'BL metrics'!P4+0.0000000045</f>
        <v>1.33565959246445E-8</v>
      </c>
      <c r="G33" s="25">
        <f>'WL metrics'!N7*2+'BL metrics'!Q7*3+'BL metrics'!P7+0.0000000045</f>
        <v>1.1978408537439984E-8</v>
      </c>
      <c r="H33" s="25">
        <f>'WL metrics'!N10*2+'BL metrics'!Q10*3+'BL metrics'!P10+0.0000000045</f>
        <v>2.3032341843834587E-8</v>
      </c>
    </row>
    <row r="34" spans="1:8" ht="16" x14ac:dyDescent="0.2">
      <c r="A34" s="31"/>
      <c r="B34" s="25"/>
      <c r="C34" s="25"/>
      <c r="D34" s="25"/>
      <c r="E34" s="28"/>
      <c r="F34" s="25"/>
      <c r="G34" s="25"/>
      <c r="H34" s="25"/>
    </row>
    <row r="35" spans="1:8" ht="16" x14ac:dyDescent="0.2">
      <c r="A35" s="31"/>
      <c r="B35" s="25"/>
      <c r="C35" s="25"/>
      <c r="D35" s="25"/>
      <c r="E35" s="28"/>
      <c r="F35" s="25"/>
      <c r="G35" s="25"/>
      <c r="H35" s="25"/>
    </row>
    <row r="37" spans="1:8" hidden="1" x14ac:dyDescent="0.2">
      <c r="A37" s="32" t="s">
        <v>219</v>
      </c>
      <c r="C37" s="15">
        <f>2*0.6*(C40*(C41 + C42 + C39*C43) + C38*C39*C43^2/2 + C38*C39*C42)</f>
        <v>3.2576550405120003E-9</v>
      </c>
      <c r="E37" s="15">
        <f>3*0.6*(E40*(E41 + E42 + E39*E43) + E38*E39*E43^2/2 + E38*E39*E42)</f>
        <v>1.4364684000000002E-9</v>
      </c>
    </row>
    <row r="38" spans="1:8" hidden="1" x14ac:dyDescent="0.2">
      <c r="A38" s="32" t="s">
        <v>158</v>
      </c>
      <c r="C38" s="14">
        <v>57</v>
      </c>
      <c r="E38" s="14">
        <v>200</v>
      </c>
    </row>
    <row r="39" spans="1:8" hidden="1" x14ac:dyDescent="0.2">
      <c r="A39" s="32" t="s">
        <v>159</v>
      </c>
      <c r="C39" s="15">
        <v>3.6000000000000001E-15</v>
      </c>
      <c r="E39" s="15">
        <v>2.0000000000000002E-15</v>
      </c>
    </row>
    <row r="40" spans="1:8" hidden="1" x14ac:dyDescent="0.2">
      <c r="A40" s="32" t="s">
        <v>160</v>
      </c>
      <c r="C40" s="14">
        <v>1500</v>
      </c>
      <c r="E40" s="14">
        <v>2500</v>
      </c>
    </row>
    <row r="41" spans="1:8" hidden="1" x14ac:dyDescent="0.2">
      <c r="A41" s="32" t="s">
        <v>161</v>
      </c>
      <c r="C41" s="15">
        <v>4.0000000000000003E-15</v>
      </c>
      <c r="E41" s="15">
        <v>7.0000000000000001E-15</v>
      </c>
    </row>
    <row r="42" spans="1:8" hidden="1" x14ac:dyDescent="0.2">
      <c r="A42" s="32" t="s">
        <v>162</v>
      </c>
      <c r="C42" s="15">
        <v>1.0000000000000001E-15</v>
      </c>
      <c r="E42" s="15">
        <v>9.9999999999999998E-17</v>
      </c>
    </row>
    <row r="43" spans="1:8" hidden="1" x14ac:dyDescent="0.2">
      <c r="A43" s="32" t="s">
        <v>163</v>
      </c>
      <c r="C43" s="14">
        <f>1024*0.135</f>
        <v>138.24</v>
      </c>
      <c r="E43" s="14">
        <f>1024*0.05</f>
        <v>51.2</v>
      </c>
    </row>
  </sheetData>
  <mergeCells count="14">
    <mergeCell ref="A28:A29"/>
    <mergeCell ref="A30:A31"/>
    <mergeCell ref="A15:A16"/>
    <mergeCell ref="A17:A18"/>
    <mergeCell ref="A19:A20"/>
    <mergeCell ref="A22:A23"/>
    <mergeCell ref="A24:A25"/>
    <mergeCell ref="A26:A27"/>
    <mergeCell ref="A13:A14"/>
    <mergeCell ref="A3:A4"/>
    <mergeCell ref="A5:A6"/>
    <mergeCell ref="A7:A8"/>
    <mergeCell ref="A9:A10"/>
    <mergeCell ref="A11:A1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3"/>
  <sheetViews>
    <sheetView tabSelected="1" topLeftCell="F1" workbookViewId="0">
      <selection activeCell="Q19" sqref="Q19"/>
    </sheetView>
  </sheetViews>
  <sheetFormatPr baseColWidth="10" defaultColWidth="8.83203125" defaultRowHeight="15" x14ac:dyDescent="0.2"/>
  <cols>
    <col min="2" max="2" width="10.6640625" customWidth="1"/>
    <col min="3" max="3" width="10.1640625" customWidth="1"/>
    <col min="4" max="4" width="18.1640625" bestFit="1" customWidth="1"/>
    <col min="5" max="6" width="18.1640625" customWidth="1"/>
    <col min="7" max="7" width="11.6640625" bestFit="1" customWidth="1"/>
    <col min="8" max="8" width="19.1640625" bestFit="1" customWidth="1"/>
    <col min="9" max="9" width="8.5" bestFit="1" customWidth="1"/>
    <col min="10" max="10" width="17.5" bestFit="1" customWidth="1"/>
    <col min="11" max="11" width="17.5" customWidth="1"/>
    <col min="12" max="12" width="17.83203125" bestFit="1" customWidth="1"/>
    <col min="13" max="13" width="23.83203125" bestFit="1" customWidth="1"/>
    <col min="14" max="14" width="21.5" bestFit="1" customWidth="1"/>
    <col min="15" max="15" width="10.33203125" bestFit="1" customWidth="1"/>
    <col min="16" max="16" width="10.33203125" customWidth="1"/>
    <col min="17" max="17" width="11.1640625" bestFit="1" customWidth="1"/>
    <col min="18" max="18" width="14.33203125" style="2" bestFit="1" customWidth="1"/>
    <col min="19" max="21" width="14.33203125" style="2" customWidth="1"/>
    <col min="22" max="22" width="9.83203125" style="6" bestFit="1" customWidth="1"/>
  </cols>
  <sheetData>
    <row r="1" spans="1:23" x14ac:dyDescent="0.2">
      <c r="A1" s="4" t="s">
        <v>0</v>
      </c>
      <c r="B1" s="4" t="s">
        <v>33</v>
      </c>
      <c r="C1" s="4" t="s">
        <v>229</v>
      </c>
      <c r="D1" s="4" t="s">
        <v>176</v>
      </c>
      <c r="E1" s="4" t="s">
        <v>234</v>
      </c>
      <c r="F1" s="4" t="s">
        <v>235</v>
      </c>
      <c r="G1" s="4" t="s">
        <v>233</v>
      </c>
      <c r="H1" s="16" t="s">
        <v>175</v>
      </c>
      <c r="I1" s="4" t="s">
        <v>188</v>
      </c>
      <c r="J1" s="4" t="s">
        <v>187</v>
      </c>
      <c r="K1" s="4" t="s">
        <v>236</v>
      </c>
      <c r="L1" s="4" t="s">
        <v>186</v>
      </c>
      <c r="M1" s="4" t="s">
        <v>225</v>
      </c>
      <c r="N1" s="4" t="s">
        <v>224</v>
      </c>
      <c r="O1" s="4" t="s">
        <v>185</v>
      </c>
      <c r="P1" s="4" t="s">
        <v>184</v>
      </c>
      <c r="Q1" s="4" t="s">
        <v>183</v>
      </c>
      <c r="R1" s="12" t="s">
        <v>189</v>
      </c>
      <c r="S1" s="12" t="s">
        <v>190</v>
      </c>
      <c r="T1" s="12" t="s">
        <v>191</v>
      </c>
      <c r="U1" s="12" t="s">
        <v>192</v>
      </c>
      <c r="V1" s="16" t="s">
        <v>193</v>
      </c>
      <c r="W1" s="4" t="s">
        <v>194</v>
      </c>
    </row>
    <row r="2" spans="1:23" x14ac:dyDescent="0.2">
      <c r="A2" s="34" t="s">
        <v>35</v>
      </c>
      <c r="B2" s="4" t="s">
        <v>34</v>
      </c>
      <c r="C2" s="4"/>
      <c r="H2" s="6"/>
    </row>
    <row r="3" spans="1:23" ht="16" x14ac:dyDescent="0.2">
      <c r="A3" s="34"/>
      <c r="B3" s="5" t="s">
        <v>20</v>
      </c>
      <c r="C3" s="1" t="s">
        <v>230</v>
      </c>
      <c r="D3" s="1"/>
      <c r="E3" s="1"/>
      <c r="F3" s="1"/>
      <c r="G3" s="1"/>
      <c r="H3" s="7"/>
      <c r="I3" s="1"/>
      <c r="J3" s="1"/>
      <c r="K3" s="1"/>
      <c r="L3" s="1"/>
      <c r="M3" s="1"/>
      <c r="N3" s="1"/>
      <c r="O3" s="1"/>
      <c r="P3" s="1"/>
      <c r="Q3" s="1"/>
    </row>
    <row r="4" spans="1:23" x14ac:dyDescent="0.2">
      <c r="A4" s="34"/>
      <c r="B4" s="4" t="s">
        <v>32</v>
      </c>
      <c r="C4" s="5"/>
      <c r="D4">
        <v>30</v>
      </c>
      <c r="E4">
        <f>Geometricals!N4-20</f>
        <v>20</v>
      </c>
      <c r="F4">
        <f>20</f>
        <v>20</v>
      </c>
      <c r="G4">
        <v>30</v>
      </c>
      <c r="H4" s="6">
        <f>D4*0.000001*0.01*Geometricals!M4*0.000000001/((Geometricals!N4-Geometricals!E4)*G4*0.000000000000000001)</f>
        <v>38.749999999999993</v>
      </c>
      <c r="I4" s="2">
        <f>Electricals!S4</f>
        <v>6.1191426346285714E-18</v>
      </c>
      <c r="J4">
        <f>0.00000000000885*0.000000001*4*G4*Geometricals!M4/Geometricals!E4*2</f>
        <v>5.4869999999999994E-18</v>
      </c>
      <c r="K4">
        <f>0.00000000000885*4*Geometricals!C4*Geometricals!H4*0.000000001/30</f>
        <v>2.3600000000000003E-19</v>
      </c>
      <c r="L4" s="2">
        <f>I4+J4+K4</f>
        <v>1.184214263462857E-17</v>
      </c>
      <c r="M4">
        <v>1500</v>
      </c>
      <c r="N4">
        <f>0.00000000000885*4*0.00000009*12*2*0.00000002/0.0000000011</f>
        <v>1.3902545454545456E-15</v>
      </c>
      <c r="O4">
        <f>'Array Construct'!F9</f>
        <v>128</v>
      </c>
      <c r="P4" s="2">
        <f>3*(M4*(N4+L4*O4+R4)+(H4*O4)*L4*O4/2+M4*O4*R4+Electricals!P4*'BL metrics'!R4*1.5)</f>
        <v>5.3789304684104099E-9</v>
      </c>
      <c r="Q4" s="2">
        <f>1.5*(M4*(N4+L4*O4+I4)+(H4*O4)*L4*O4/2+M4*O4*I4)</f>
        <v>1.3953445592651437E-11</v>
      </c>
      <c r="R4" s="2">
        <f>'Array Construct'!F19</f>
        <v>8.0000000000000006E-15</v>
      </c>
      <c r="S4" s="2">
        <v>0.5</v>
      </c>
      <c r="T4" s="2">
        <v>0.7</v>
      </c>
      <c r="U4" s="2">
        <v>0.3</v>
      </c>
      <c r="V4" s="6">
        <f>((T4*R4+S4*(L4*O4+N4))/(O4*L4+N4+R4)-S4)*1000</f>
        <v>146.70757750559449</v>
      </c>
      <c r="W4" s="6">
        <f>((U4*R4+S4*(L4*O4+N4))/(O4*L4+N4+R4)-S4)*1000</f>
        <v>-146.70757750559454</v>
      </c>
    </row>
    <row r="5" spans="1:23" x14ac:dyDescent="0.2">
      <c r="A5" s="34" t="s">
        <v>36</v>
      </c>
      <c r="B5" s="4" t="s">
        <v>34</v>
      </c>
      <c r="C5" s="4"/>
      <c r="H5" s="6"/>
    </row>
    <row r="6" spans="1:23" ht="16" x14ac:dyDescent="0.2">
      <c r="A6" s="34"/>
      <c r="B6" s="5" t="s">
        <v>20</v>
      </c>
      <c r="C6" s="1" t="s">
        <v>230</v>
      </c>
      <c r="D6" s="1"/>
      <c r="E6" s="1"/>
      <c r="F6" s="1"/>
      <c r="G6" s="1"/>
      <c r="H6" s="7"/>
      <c r="I6" s="1"/>
      <c r="J6" s="1"/>
      <c r="K6" s="1"/>
      <c r="L6" s="1"/>
      <c r="M6" s="1"/>
      <c r="N6" s="1"/>
      <c r="O6" s="1"/>
      <c r="P6" s="1"/>
      <c r="Q6" s="1"/>
    </row>
    <row r="7" spans="1:23" x14ac:dyDescent="0.2">
      <c r="A7" s="34"/>
      <c r="B7" s="4" t="s">
        <v>32</v>
      </c>
      <c r="C7" s="5"/>
      <c r="D7">
        <v>30</v>
      </c>
      <c r="E7">
        <f>Geometricals!N7-20</f>
        <v>23</v>
      </c>
      <c r="F7">
        <f>20</f>
        <v>20</v>
      </c>
      <c r="G7">
        <v>30</v>
      </c>
      <c r="H7" s="6">
        <f>D7*0.00000001*1000000000*(0.8*Geometricals!M7/(Geometricals!H7*'BL metrics'!G7) + 0.2*Geometricals!M7/(Geometricals!E7*'BL metrics'!G7))</f>
        <v>59.800000000000011</v>
      </c>
      <c r="I7" s="2">
        <f>Electricals!S7</f>
        <v>3.249639152344142E-17</v>
      </c>
      <c r="J7">
        <f>0.00000000000885*4*0.000000001*Geometricals!M7*'BL metrics'!G7/Geometricals!D7*2</f>
        <v>5.5224E-18</v>
      </c>
      <c r="K7">
        <f>0.00000000000885*4*Geometricals!C7*Geometricals!H7*0.000000001*0.1/30</f>
        <v>4.248000000000001E-20</v>
      </c>
      <c r="L7" s="2">
        <f>I7+J7+K7</f>
        <v>3.8061271523441421E-17</v>
      </c>
      <c r="M7">
        <v>1500</v>
      </c>
      <c r="N7">
        <f>0.00000000000885*4*0.00000009*12*2*0.00000002/0.0000000011</f>
        <v>1.3902545454545456E-15</v>
      </c>
      <c r="O7">
        <f>'Array Construct'!G9</f>
        <v>128</v>
      </c>
      <c r="P7" s="2">
        <f>3*(M7*(N7+L7*O7+R7)+(H7*O7)*L7*O7/2+M7*O7*R7+Electricals!P7*'BL metrics'!R7*1.5)</f>
        <v>5.9091909785846032E-9</v>
      </c>
      <c r="Q7" s="2">
        <f>1.5*(M7*(N7+L7*O7+I7)+(H7*O7)*L7*O7/2+M7*O7*I7)</f>
        <v>5.1490071453609618E-11</v>
      </c>
      <c r="R7" s="2">
        <f>'Array Construct'!G19</f>
        <v>8.0000000000000006E-15</v>
      </c>
      <c r="S7" s="2">
        <v>0.5</v>
      </c>
      <c r="T7" s="2">
        <v>0.7</v>
      </c>
      <c r="U7" s="2">
        <v>0.3</v>
      </c>
      <c r="V7" s="6">
        <f>((T7*R7+S7*(L7*O7+N7))/(O7*L7+N7+R7)-S7)*1000</f>
        <v>112.18546377109273</v>
      </c>
      <c r="W7" s="6">
        <f>((U7*R7+S7*(L7*O7+N7))/(O7*L7+N7+R7)-S7)*1000</f>
        <v>-112.18546377109284</v>
      </c>
    </row>
    <row r="8" spans="1:23" x14ac:dyDescent="0.2">
      <c r="A8" s="34" t="s">
        <v>55</v>
      </c>
      <c r="B8" s="4" t="s">
        <v>34</v>
      </c>
      <c r="C8" s="4"/>
      <c r="H8" s="6"/>
    </row>
    <row r="9" spans="1:23" ht="16" x14ac:dyDescent="0.2">
      <c r="A9" s="34"/>
      <c r="B9" s="5" t="s">
        <v>20</v>
      </c>
      <c r="C9" s="1" t="s">
        <v>230</v>
      </c>
      <c r="D9" s="1"/>
      <c r="E9" s="1"/>
      <c r="F9" s="1"/>
      <c r="H9" s="7"/>
      <c r="I9" s="1"/>
      <c r="J9" s="1"/>
      <c r="K9" s="1"/>
      <c r="L9" s="1"/>
      <c r="M9" s="1"/>
      <c r="N9" s="1"/>
      <c r="O9" s="1"/>
      <c r="P9" s="1"/>
      <c r="Q9" s="1"/>
    </row>
    <row r="10" spans="1:23" x14ac:dyDescent="0.2">
      <c r="A10" s="34"/>
      <c r="B10" s="4" t="s">
        <v>32</v>
      </c>
      <c r="C10" s="5"/>
      <c r="D10">
        <v>30</v>
      </c>
      <c r="E10">
        <f>Geometricals!N10-20</f>
        <v>29</v>
      </c>
      <c r="F10">
        <f>20</f>
        <v>20</v>
      </c>
      <c r="G10">
        <v>30</v>
      </c>
      <c r="H10" s="6">
        <f>D10*0.00000001*1000000000*Geometricals!N10/(Geometricals!M10-Geometricals!E10)/'BL metrics'!G10</f>
        <v>20.416666666666668</v>
      </c>
      <c r="I10" s="2">
        <f>Electricals!S10</f>
        <v>1.747623113296951E-18</v>
      </c>
      <c r="J10">
        <f>0.00000000000885*4*0.000000001*G10*Geometricals!N10/Geometricals!I10*2</f>
        <v>6.9384E-18</v>
      </c>
      <c r="K10" s="2">
        <f>0.00000000000885*4*Geometricals!C10*Geometricals!H10*0.000000001/30</f>
        <v>8.260000000000001E-20</v>
      </c>
      <c r="L10" s="2">
        <f>I10+J10+K10</f>
        <v>8.7686231132969513E-18</v>
      </c>
      <c r="M10">
        <v>1500</v>
      </c>
      <c r="N10">
        <f>0.00000000000885*4*0.00000009*12*2*0.00000002/0.0000000011</f>
        <v>1.3902545454545456E-15</v>
      </c>
      <c r="O10">
        <f>'Array Construct'!H9</f>
        <v>128</v>
      </c>
      <c r="P10" s="2">
        <f>3*(M10*(N10+L10*O10+R10)+(H10*O10)*L10*O10/2+M10*O10*R10+Electricals!P10*'BL metrics'!R10*1.5)</f>
        <v>9.4395538074449701E-9</v>
      </c>
      <c r="Q10" s="2">
        <f>1.5*(M10*(N10+L10*O10+I10)+(H10*O10)*L10*O10/2+M10*O10*I10)</f>
        <v>8.3605559592006299E-12</v>
      </c>
      <c r="R10" s="2">
        <f>'Array Construct'!H19</f>
        <v>8.0000000000000006E-15</v>
      </c>
      <c r="S10" s="2">
        <v>0.5</v>
      </c>
      <c r="T10" s="2">
        <v>0.7</v>
      </c>
      <c r="U10" s="2">
        <v>0.3</v>
      </c>
      <c r="V10" s="6">
        <f>((T10*R10+S10*(L10*O10+N10))/(O10*L10+N10+R10)-S10)*1000</f>
        <v>152.1977598523313</v>
      </c>
      <c r="W10" s="6">
        <f>((U10*R10+S10*(L10*O10+N10))/(O10*L10+N10+R10)-S10)*1000</f>
        <v>-152.19775985233142</v>
      </c>
    </row>
    <row r="11" spans="1:23" x14ac:dyDescent="0.2">
      <c r="A11" s="34" t="s">
        <v>169</v>
      </c>
      <c r="B11" s="4" t="s">
        <v>34</v>
      </c>
      <c r="C11" s="4"/>
      <c r="H11" s="6"/>
    </row>
    <row r="12" spans="1:23" ht="16" x14ac:dyDescent="0.2">
      <c r="A12" s="34"/>
      <c r="B12" s="5" t="s">
        <v>20</v>
      </c>
      <c r="C12" s="1" t="s">
        <v>231</v>
      </c>
      <c r="D12" s="1"/>
      <c r="E12" s="1"/>
      <c r="F12" s="1"/>
      <c r="G12" s="1"/>
      <c r="H12" s="7"/>
      <c r="I12" s="1"/>
      <c r="J12" s="1"/>
      <c r="K12" s="1"/>
      <c r="L12" s="1"/>
      <c r="M12" s="1"/>
      <c r="N12" s="1"/>
      <c r="O12" s="1"/>
      <c r="P12" s="1"/>
      <c r="Q12" s="1"/>
    </row>
    <row r="13" spans="1:23" x14ac:dyDescent="0.2">
      <c r="A13" s="34"/>
      <c r="B13" s="4" t="s">
        <v>32</v>
      </c>
      <c r="C13" s="5"/>
      <c r="D13">
        <v>30</v>
      </c>
      <c r="E13">
        <f>Geometricals!N13/4</f>
        <v>22.5</v>
      </c>
      <c r="F13">
        <v>20</v>
      </c>
      <c r="G13">
        <v>30</v>
      </c>
      <c r="H13" s="6">
        <f>D13*0.00000001*1000000000*Geometricals!M13/(Geometricals!G13+Geometricals!H13)*2/'BL metrics'!G13</f>
        <v>22.857142857142854</v>
      </c>
      <c r="I13" s="2">
        <f>Electricals!S13</f>
        <v>1.1125714285714288E-18</v>
      </c>
      <c r="J13">
        <f>0.00000000000885*4*0.000000001*G13*Geometricals!M13/(Geometricals!G13+Geometricals!H13)*2</f>
        <v>2.4274285714285715E-18</v>
      </c>
      <c r="K13">
        <f>0.00000000000885*4*Geometricals!C13*20*0.000000001/30</f>
        <v>9.4400000000000014E-19</v>
      </c>
      <c r="L13" s="2">
        <f>I13+J13+K13</f>
        <v>4.4840000000000002E-18</v>
      </c>
      <c r="M13">
        <v>1500</v>
      </c>
      <c r="N13">
        <f>0.00000000000885*4*0.00000009*12*2*0.00000002/0.0000000011</f>
        <v>1.3902545454545456E-15</v>
      </c>
      <c r="O13">
        <f>'Array Construct'!D9</f>
        <v>128</v>
      </c>
      <c r="P13" s="2">
        <f>3*(M13*(N13+L13*O13+R13)+(H13*O13)*L13*O13/2+M13*O13*R13+Electricals!P13*'BL metrics'!R13*1.5)</f>
        <v>6.9821462245746331E-9</v>
      </c>
      <c r="Q13" s="2">
        <f>1.5*(M13*(N13+L13*O13+I13)+(H13*O13)*L13*O13/2+M13*O13*I13)</f>
        <v>6.0018032587012995E-12</v>
      </c>
      <c r="R13" s="2">
        <f>'Array Construct'!D19</f>
        <v>8.0000000000000006E-15</v>
      </c>
      <c r="S13" s="2">
        <v>0.5</v>
      </c>
      <c r="T13" s="2">
        <v>0.7</v>
      </c>
      <c r="U13" s="2">
        <v>0.3</v>
      </c>
      <c r="V13" s="6">
        <f>((T13*R13+S13*(L13*O13+N13))/(O13*L13+N13+R13)-S13)*1000</f>
        <v>160.57475251051324</v>
      </c>
      <c r="W13" s="6">
        <f>((U13*R13+S13*(L13*O13+N13))/(O13*L13+N13+R13)-S13)*1000</f>
        <v>-160.57475251051329</v>
      </c>
    </row>
  </sheetData>
  <mergeCells count="4">
    <mergeCell ref="A2:A4"/>
    <mergeCell ref="A5:A7"/>
    <mergeCell ref="A8:A10"/>
    <mergeCell ref="A11:A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3"/>
  <sheetViews>
    <sheetView topLeftCell="E1" zoomScaleNormal="85" workbookViewId="0">
      <selection activeCell="K17" sqref="K17"/>
    </sheetView>
  </sheetViews>
  <sheetFormatPr baseColWidth="10" defaultColWidth="8.83203125" defaultRowHeight="15" x14ac:dyDescent="0.2"/>
  <cols>
    <col min="1" max="1" width="11.33203125" bestFit="1" customWidth="1"/>
    <col min="2" max="3" width="12.1640625" customWidth="1"/>
    <col min="4" max="4" width="18.1640625" bestFit="1" customWidth="1"/>
    <col min="5" max="5" width="18.1640625" customWidth="1"/>
    <col min="6" max="6" width="20.1640625" style="6" bestFit="1" customWidth="1"/>
    <col min="8" max="8" width="18.5" bestFit="1" customWidth="1"/>
    <col min="9" max="9" width="17.5" style="2" customWidth="1"/>
    <col min="10" max="10" width="17.83203125" bestFit="1" customWidth="1"/>
    <col min="11" max="11" width="24.5" bestFit="1" customWidth="1"/>
    <col min="12" max="12" width="21.5" bestFit="1" customWidth="1"/>
    <col min="13" max="13" width="21.5" customWidth="1"/>
    <col min="14" max="14" width="12.5" bestFit="1" customWidth="1"/>
    <col min="20" max="20" width="30.83203125" customWidth="1"/>
  </cols>
  <sheetData>
    <row r="1" spans="1:20" s="4" customFormat="1" x14ac:dyDescent="0.2">
      <c r="A1" s="4" t="s">
        <v>0</v>
      </c>
      <c r="B1" s="4" t="s">
        <v>33</v>
      </c>
      <c r="C1" s="4" t="s">
        <v>229</v>
      </c>
      <c r="D1" s="4" t="s">
        <v>176</v>
      </c>
      <c r="E1" s="4" t="s">
        <v>177</v>
      </c>
      <c r="F1" s="16" t="s">
        <v>175</v>
      </c>
      <c r="G1" s="4" t="s">
        <v>171</v>
      </c>
      <c r="H1" s="4" t="s">
        <v>181</v>
      </c>
      <c r="I1" s="12" t="s">
        <v>236</v>
      </c>
      <c r="J1" s="4" t="s">
        <v>174</v>
      </c>
      <c r="K1" s="4" t="s">
        <v>178</v>
      </c>
      <c r="L1" s="4" t="s">
        <v>179</v>
      </c>
      <c r="M1" s="4" t="s">
        <v>182</v>
      </c>
      <c r="N1" s="4" t="s">
        <v>180</v>
      </c>
    </row>
    <row r="2" spans="1:20" x14ac:dyDescent="0.2">
      <c r="A2" s="34" t="s">
        <v>35</v>
      </c>
      <c r="B2" s="4" t="s">
        <v>34</v>
      </c>
      <c r="C2" s="4"/>
    </row>
    <row r="3" spans="1:20" s="1" customFormat="1" ht="16" x14ac:dyDescent="0.2">
      <c r="A3" s="34"/>
      <c r="B3" s="5" t="s">
        <v>20</v>
      </c>
      <c r="F3" s="7"/>
      <c r="I3" s="3"/>
      <c r="T3" s="5" t="s">
        <v>92</v>
      </c>
    </row>
    <row r="4" spans="1:20" x14ac:dyDescent="0.2">
      <c r="A4" s="34"/>
      <c r="B4" s="4" t="s">
        <v>32</v>
      </c>
      <c r="C4" s="5"/>
      <c r="D4">
        <v>30</v>
      </c>
      <c r="E4">
        <v>30</v>
      </c>
      <c r="F4" s="6">
        <f>D4*0.000001*0.01*Geometricals!N4*0.000000001/(Electricals!C4*E4*0.000000000000000001)</f>
        <v>20</v>
      </c>
      <c r="G4" s="2">
        <f>Electricals!J4</f>
        <v>6.1191426346285716E-17</v>
      </c>
      <c r="H4">
        <f>0.00000000000885*4*'WL metrics'!E4*Geometricals!N4*0.000000001/(Geometricals!M4-Geometricals!H4)*2</f>
        <v>2.0228571428571429E-18</v>
      </c>
      <c r="I4">
        <v>2.3600000000000003E-19</v>
      </c>
      <c r="J4" s="2">
        <f>G4+H4+I4</f>
        <v>6.3450283489142852E-17</v>
      </c>
      <c r="K4">
        <v>1500</v>
      </c>
      <c r="L4">
        <f>0.00000000000885*4*0.00000009*12*2*0.00000002/0.0000000011</f>
        <v>1.3902545454545456E-15</v>
      </c>
      <c r="M4">
        <v>1024</v>
      </c>
      <c r="N4" s="2">
        <f>2*(K4*(L4+J4*M4+G4)+(F4*M4)*J4*M4/2+K4*M4*G4)</f>
        <v>1.7179025597280682E-9</v>
      </c>
    </row>
    <row r="5" spans="1:20" x14ac:dyDescent="0.2">
      <c r="A5" s="34" t="s">
        <v>36</v>
      </c>
      <c r="B5" s="4" t="s">
        <v>34</v>
      </c>
      <c r="C5" s="4"/>
      <c r="I5"/>
    </row>
    <row r="6" spans="1:20" s="1" customFormat="1" ht="16" x14ac:dyDescent="0.2">
      <c r="A6" s="34"/>
      <c r="B6" s="5" t="s">
        <v>20</v>
      </c>
      <c r="C6" s="4"/>
      <c r="F6" s="7"/>
    </row>
    <row r="7" spans="1:20" x14ac:dyDescent="0.2">
      <c r="A7" s="34"/>
      <c r="B7" s="4" t="s">
        <v>32</v>
      </c>
      <c r="C7" s="5"/>
      <c r="D7">
        <v>30</v>
      </c>
      <c r="E7">
        <v>30</v>
      </c>
      <c r="F7" s="6">
        <f>D7*0.00000001*(Geometricals!C7-2*5-2*2)*1000000000/(Geometricals!N7*'WL metrics'!E7)</f>
        <v>2.3255813953488373</v>
      </c>
      <c r="G7" s="2">
        <f>Electricals!J7</f>
        <v>7.9435623723967912E-17</v>
      </c>
      <c r="H7">
        <f>0.00000000000885*4*(E7*Geometricals!N7)*0.000000001/(Geometricals!M7-Geometricals!H7)*2</f>
        <v>3.8055000000000003E-18</v>
      </c>
      <c r="I7">
        <v>4.248000000000001E-20</v>
      </c>
      <c r="J7" s="2">
        <f>G7+H7+I7</f>
        <v>8.3283603723967909E-17</v>
      </c>
      <c r="K7">
        <v>1500</v>
      </c>
      <c r="L7">
        <f>0.00000000000885*4*0.00000009*12*2*0.00000002/0.0000000011</f>
        <v>1.3902545454545456E-15</v>
      </c>
      <c r="M7">
        <v>1024</v>
      </c>
      <c r="N7" s="2">
        <f>2*(K7*(L7+J7*M7+G7)+(F7*M7)*J7*M7/2+K7*M7*G7)</f>
        <v>7.0737367224727666E-10</v>
      </c>
    </row>
    <row r="8" spans="1:20" x14ac:dyDescent="0.2">
      <c r="A8" s="34" t="s">
        <v>55</v>
      </c>
      <c r="B8" s="4" t="s">
        <v>34</v>
      </c>
      <c r="C8" s="4"/>
      <c r="I8"/>
    </row>
    <row r="9" spans="1:20" s="1" customFormat="1" ht="16" x14ac:dyDescent="0.2">
      <c r="A9" s="34"/>
      <c r="B9" s="5" t="s">
        <v>20</v>
      </c>
      <c r="C9" s="4"/>
      <c r="E9"/>
      <c r="F9" s="7"/>
    </row>
    <row r="10" spans="1:20" x14ac:dyDescent="0.2">
      <c r="A10" s="34"/>
      <c r="B10" s="4" t="s">
        <v>32</v>
      </c>
      <c r="C10" s="5"/>
      <c r="D10">
        <v>30</v>
      </c>
      <c r="E10">
        <v>30</v>
      </c>
      <c r="F10" s="6">
        <f>D10*0.00000001*1000000000*(0.8*Geometricals!N10/(Electricals!C10*(Geometricals!G10*2+Geometricals!H10))+0.2*Geometricals!N10/(Electricals!C10*Geometricals!F10))</f>
        <v>49.000000000000007</v>
      </c>
      <c r="G10" s="2">
        <f>Electricals!J10</f>
        <v>6.9904924531878032E-17</v>
      </c>
      <c r="H10">
        <f>0.00000000000885*4*Electricals!C10*Geometricals!N10*0.000000001/Geometricals!E10*2</f>
        <v>9.251200000000002E-18</v>
      </c>
      <c r="I10" s="2">
        <v>8.260000000000001E-20</v>
      </c>
      <c r="J10" s="2">
        <f>G10+H10+I10</f>
        <v>7.9238724531878034E-17</v>
      </c>
      <c r="K10">
        <v>1500</v>
      </c>
      <c r="L10">
        <f>0.00000000000885*4*0.00000009*12*2*0.00000002/0.0000000011</f>
        <v>1.3902545454545456E-15</v>
      </c>
      <c r="M10">
        <v>1024</v>
      </c>
      <c r="N10" s="2">
        <f>2*(K10*(L10+J10*M10+G10)+(F10*M10)*J10*M10/2+K10*M10*G10)</f>
        <v>4.5338531842560073E-9</v>
      </c>
    </row>
    <row r="11" spans="1:20" x14ac:dyDescent="0.2">
      <c r="A11" s="34" t="s">
        <v>169</v>
      </c>
      <c r="B11" s="4" t="s">
        <v>34</v>
      </c>
      <c r="C11" s="4"/>
      <c r="I11"/>
    </row>
    <row r="12" spans="1:20" s="1" customFormat="1" ht="16" x14ac:dyDescent="0.2">
      <c r="A12" s="34"/>
      <c r="B12" s="5" t="s">
        <v>20</v>
      </c>
      <c r="F12" s="7"/>
    </row>
    <row r="13" spans="1:20" x14ac:dyDescent="0.2">
      <c r="A13" s="34"/>
      <c r="B13" s="4" t="s">
        <v>32</v>
      </c>
      <c r="C13" s="5"/>
      <c r="D13">
        <v>30</v>
      </c>
      <c r="E13">
        <v>30</v>
      </c>
      <c r="F13" s="6">
        <f>D13*0.00000001*Geometricals!N13/(Geometricals!M13/2*'WL metrics'!E13)*1000000000</f>
        <v>29.999999999999996</v>
      </c>
      <c r="G13" s="2">
        <f>Electricals!J13</f>
        <v>3.8940000000000004E-17</v>
      </c>
      <c r="H13">
        <f>0.00000000000885*4*(E13*Geometricals!N13*0.000000001/Geometricals!M13*2+ 0.00000001*(Geometricals!N13-Geometricals!I13)/Geometricals!D13)*2</f>
        <v>8.8499999999999999E-18</v>
      </c>
      <c r="I13">
        <v>9.4400000000000014E-19</v>
      </c>
      <c r="J13" s="2">
        <f>G13+H13+I13</f>
        <v>4.8734E-17</v>
      </c>
      <c r="K13">
        <v>1500</v>
      </c>
      <c r="L13">
        <f>0.00000000000885*4*0.00000009*12*2*0.00000002/0.0000000011</f>
        <v>1.3902545454545456E-15</v>
      </c>
      <c r="M13">
        <f>'Array Construct'!D11</f>
        <v>1024</v>
      </c>
      <c r="N13" s="2">
        <f>2*(K13*(L13+J13*M13+G13)+(F13*M13)*J13*M13/2+K13*M13*G13)</f>
        <v>1.8066611951563633E-9</v>
      </c>
    </row>
  </sheetData>
  <mergeCells count="4">
    <mergeCell ref="A2:A4"/>
    <mergeCell ref="A5:A7"/>
    <mergeCell ref="A8:A10"/>
    <mergeCell ref="A11:A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3"/>
  <sheetViews>
    <sheetView workbookViewId="0">
      <selection activeCell="G4" sqref="G4"/>
    </sheetView>
  </sheetViews>
  <sheetFormatPr baseColWidth="10" defaultColWidth="8.83203125" defaultRowHeight="15" x14ac:dyDescent="0.2"/>
  <cols>
    <col min="1" max="1" width="11.33203125" bestFit="1" customWidth="1"/>
    <col min="2" max="2" width="11.5" customWidth="1"/>
    <col min="4" max="4" width="16.5" bestFit="1" customWidth="1"/>
    <col min="5" max="5" width="16.5" customWidth="1"/>
    <col min="6" max="6" width="10.1640625" bestFit="1" customWidth="1"/>
    <col min="7" max="7" width="10.1640625" customWidth="1"/>
    <col min="8" max="8" width="19.1640625" bestFit="1" customWidth="1"/>
    <col min="9" max="9" width="16" style="6" bestFit="1" customWidth="1"/>
    <col min="10" max="10" width="18" bestFit="1" customWidth="1"/>
    <col min="11" max="11" width="18.1640625" bestFit="1" customWidth="1"/>
  </cols>
  <sheetData>
    <row r="1" spans="1:22" x14ac:dyDescent="0.2">
      <c r="A1" s="4" t="s">
        <v>0</v>
      </c>
      <c r="B1" s="4" t="s">
        <v>33</v>
      </c>
      <c r="C1" s="4" t="s">
        <v>201</v>
      </c>
      <c r="D1" s="4" t="s">
        <v>195</v>
      </c>
      <c r="E1" s="4" t="s">
        <v>199</v>
      </c>
      <c r="F1" s="4" t="s">
        <v>196</v>
      </c>
      <c r="G1" s="4" t="s">
        <v>200</v>
      </c>
      <c r="H1" s="16" t="s">
        <v>197</v>
      </c>
      <c r="I1" s="16" t="s">
        <v>198</v>
      </c>
      <c r="J1" s="4" t="s">
        <v>227</v>
      </c>
      <c r="K1" s="4" t="s">
        <v>228</v>
      </c>
      <c r="L1" s="4"/>
      <c r="M1" s="4"/>
      <c r="N1" s="4"/>
      <c r="O1" s="4"/>
      <c r="P1" s="4"/>
      <c r="Q1" s="12"/>
      <c r="R1" s="12"/>
      <c r="S1" s="12"/>
      <c r="T1" s="12"/>
      <c r="U1" s="16"/>
      <c r="V1" s="4"/>
    </row>
    <row r="2" spans="1:22" x14ac:dyDescent="0.2">
      <c r="A2" s="34" t="s">
        <v>35</v>
      </c>
      <c r="B2" s="4" t="s">
        <v>34</v>
      </c>
      <c r="C2" s="4"/>
      <c r="H2" s="6"/>
      <c r="Q2" s="2"/>
      <c r="R2" s="2"/>
      <c r="S2" s="2"/>
      <c r="T2" s="2"/>
      <c r="U2" s="6"/>
    </row>
    <row r="3" spans="1:22" ht="16" x14ac:dyDescent="0.2">
      <c r="A3" s="34"/>
      <c r="B3" s="5" t="s">
        <v>20</v>
      </c>
      <c r="C3" s="1"/>
      <c r="D3" s="1"/>
      <c r="E3" s="1"/>
      <c r="F3" s="1"/>
      <c r="G3" s="1"/>
      <c r="H3" s="7"/>
      <c r="I3" s="7"/>
      <c r="J3" s="1"/>
      <c r="K3" s="1"/>
      <c r="L3" s="1"/>
      <c r="M3" s="1"/>
      <c r="N3" s="1"/>
      <c r="O3" s="1"/>
      <c r="P3" s="1"/>
      <c r="Q3" s="2"/>
      <c r="R3" s="2"/>
      <c r="S3" s="2"/>
      <c r="T3" s="2"/>
      <c r="U3" s="6"/>
    </row>
    <row r="4" spans="1:22" ht="16" x14ac:dyDescent="0.2">
      <c r="A4" s="34"/>
      <c r="B4" s="4" t="s">
        <v>32</v>
      </c>
      <c r="C4" s="5" t="s">
        <v>202</v>
      </c>
      <c r="D4">
        <v>50</v>
      </c>
      <c r="E4">
        <v>6</v>
      </c>
      <c r="F4" s="2">
        <f>'Array Construct'!F19*COB!E4*0.000000001*1000000000000/0.00000000000885/COB!D4</f>
        <v>0.10847457627118644</v>
      </c>
      <c r="G4">
        <v>3</v>
      </c>
      <c r="H4" s="6">
        <f>Geometricals!M4</f>
        <v>62</v>
      </c>
      <c r="I4" s="6">
        <f>Geometricals!N4</f>
        <v>40</v>
      </c>
      <c r="J4">
        <f>F4*1000/(2*(H4+I4))</f>
        <v>0.53173811897640411</v>
      </c>
      <c r="K4" s="6">
        <f>J4/1.6</f>
        <v>0.33233632436025257</v>
      </c>
      <c r="L4">
        <f>E4*4+6*G4</f>
        <v>42</v>
      </c>
      <c r="O4" s="2"/>
      <c r="P4" s="2"/>
      <c r="Q4" s="2"/>
      <c r="R4" s="2"/>
      <c r="S4" s="2"/>
      <c r="T4" s="2"/>
      <c r="U4" s="6"/>
      <c r="V4" s="6"/>
    </row>
    <row r="5" spans="1:22" x14ac:dyDescent="0.2">
      <c r="A5" s="34" t="s">
        <v>36</v>
      </c>
      <c r="B5" s="4" t="s">
        <v>34</v>
      </c>
      <c r="C5" s="4"/>
      <c r="H5" s="6"/>
      <c r="K5" s="6"/>
      <c r="Q5" s="2"/>
      <c r="R5" s="2"/>
      <c r="S5" s="2"/>
      <c r="T5" s="2"/>
      <c r="U5" s="6"/>
    </row>
    <row r="6" spans="1:22" ht="16" x14ac:dyDescent="0.2">
      <c r="A6" s="34"/>
      <c r="B6" s="5" t="s">
        <v>20</v>
      </c>
      <c r="C6" s="4"/>
      <c r="D6" s="1"/>
      <c r="E6" s="1"/>
      <c r="F6" s="1"/>
      <c r="G6" s="1"/>
      <c r="H6" s="7"/>
      <c r="I6" s="7"/>
      <c r="J6" s="1"/>
      <c r="K6" s="7"/>
      <c r="L6" s="1"/>
      <c r="M6" s="1"/>
      <c r="N6" s="1"/>
      <c r="O6" s="1"/>
      <c r="P6" s="1"/>
      <c r="Q6" s="2"/>
      <c r="R6" s="2"/>
      <c r="S6" s="2"/>
      <c r="T6" s="2"/>
      <c r="U6" s="6"/>
    </row>
    <row r="7" spans="1:22" ht="16" x14ac:dyDescent="0.2">
      <c r="A7" s="34"/>
      <c r="B7" s="4" t="s">
        <v>32</v>
      </c>
      <c r="C7" s="5" t="s">
        <v>202</v>
      </c>
      <c r="D7">
        <v>50</v>
      </c>
      <c r="E7">
        <v>6</v>
      </c>
      <c r="F7" s="2">
        <f>'Array Construct'!G19*COB!E7*0.000000001*1000000000000/0.00000000000885/COB!D7</f>
        <v>0.10847457627118644</v>
      </c>
      <c r="G7">
        <v>3</v>
      </c>
      <c r="H7" s="6">
        <f>Geometricals!M7</f>
        <v>39</v>
      </c>
      <c r="I7" s="6">
        <f>Geometricals!N7</f>
        <v>43</v>
      </c>
      <c r="J7">
        <f>F7*1000/(2*(H7+I7))</f>
        <v>0.66143034311699045</v>
      </c>
      <c r="K7" s="6">
        <f>J7/1.6</f>
        <v>0.41339396444811899</v>
      </c>
      <c r="L7">
        <f>E7*4+6*G7</f>
        <v>42</v>
      </c>
      <c r="O7" s="2"/>
      <c r="P7" s="2"/>
      <c r="Q7" s="2"/>
      <c r="R7" s="2"/>
      <c r="S7" s="2"/>
      <c r="T7" s="2"/>
      <c r="U7" s="6"/>
      <c r="V7" s="6"/>
    </row>
    <row r="8" spans="1:22" x14ac:dyDescent="0.2">
      <c r="A8" s="34" t="s">
        <v>55</v>
      </c>
      <c r="B8" s="4" t="s">
        <v>34</v>
      </c>
      <c r="C8" s="4"/>
      <c r="H8" s="6"/>
      <c r="K8" s="6"/>
      <c r="Q8" s="2"/>
      <c r="R8" s="2"/>
      <c r="S8" s="2"/>
      <c r="T8" s="2"/>
      <c r="U8" s="6"/>
    </row>
    <row r="9" spans="1:22" ht="16" x14ac:dyDescent="0.2">
      <c r="A9" s="34"/>
      <c r="B9" s="5" t="s">
        <v>20</v>
      </c>
      <c r="C9" s="4"/>
      <c r="D9" s="1"/>
      <c r="E9" s="1"/>
      <c r="H9" s="7"/>
      <c r="I9" s="7"/>
      <c r="J9" s="1"/>
      <c r="K9" s="7"/>
      <c r="L9" s="1"/>
      <c r="M9" s="1"/>
      <c r="N9" s="1"/>
      <c r="O9" s="1"/>
      <c r="P9" s="1"/>
      <c r="Q9" s="2"/>
      <c r="R9" s="2"/>
      <c r="S9" s="2"/>
      <c r="T9" s="2"/>
      <c r="U9" s="6"/>
    </row>
    <row r="10" spans="1:22" ht="16" x14ac:dyDescent="0.2">
      <c r="A10" s="34"/>
      <c r="B10" s="4" t="s">
        <v>32</v>
      </c>
      <c r="C10" s="5" t="s">
        <v>202</v>
      </c>
      <c r="D10">
        <v>50</v>
      </c>
      <c r="E10">
        <v>6</v>
      </c>
      <c r="F10" s="2">
        <f>'Array Construct'!H19*COB!E10*0.000000001*1000000000000/0.00000000000885/COB!D10</f>
        <v>0.10847457627118644</v>
      </c>
      <c r="G10">
        <v>3</v>
      </c>
      <c r="H10" s="6">
        <f>Geometricals!M10</f>
        <v>39</v>
      </c>
      <c r="I10" s="6">
        <f>Geometricals!N10</f>
        <v>49</v>
      </c>
      <c r="J10">
        <f>F10*1000/(2*(H10+I10))</f>
        <v>0.61633281972265019</v>
      </c>
      <c r="K10" s="6">
        <f>J10/1.6</f>
        <v>0.38520801232665636</v>
      </c>
      <c r="L10">
        <f>E10*4+6*G10</f>
        <v>42</v>
      </c>
      <c r="O10" s="2"/>
      <c r="P10" s="2"/>
      <c r="Q10" s="2"/>
      <c r="R10" s="2"/>
      <c r="S10" s="2"/>
      <c r="T10" s="2"/>
      <c r="U10" s="6"/>
      <c r="V10" s="6"/>
    </row>
    <row r="11" spans="1:22" x14ac:dyDescent="0.2">
      <c r="A11" s="34" t="s">
        <v>169</v>
      </c>
      <c r="B11" s="4" t="s">
        <v>34</v>
      </c>
      <c r="C11" s="4"/>
      <c r="H11" s="6"/>
      <c r="K11" s="6"/>
      <c r="Q11" s="2"/>
      <c r="R11" s="2"/>
      <c r="S11" s="2"/>
      <c r="T11" s="2"/>
      <c r="U11" s="6"/>
    </row>
    <row r="12" spans="1:22" ht="16" x14ac:dyDescent="0.2">
      <c r="A12" s="34"/>
      <c r="B12" s="5" t="s">
        <v>20</v>
      </c>
      <c r="C12" s="1"/>
      <c r="D12" s="1"/>
      <c r="E12" s="1"/>
      <c r="F12" s="1"/>
      <c r="G12" s="1"/>
      <c r="H12" s="7"/>
      <c r="I12" s="7"/>
      <c r="J12" s="1"/>
      <c r="K12" s="7"/>
      <c r="L12" s="1"/>
      <c r="M12" s="1"/>
      <c r="N12" s="1"/>
      <c r="O12" s="1"/>
      <c r="P12" s="1"/>
      <c r="Q12" s="2"/>
      <c r="R12" s="2"/>
      <c r="S12" s="2"/>
      <c r="T12" s="2"/>
      <c r="U12" s="6"/>
    </row>
    <row r="13" spans="1:22" ht="16" x14ac:dyDescent="0.2">
      <c r="A13" s="34"/>
      <c r="B13" s="4" t="s">
        <v>32</v>
      </c>
      <c r="C13" s="5" t="s">
        <v>202</v>
      </c>
      <c r="D13">
        <v>50</v>
      </c>
      <c r="E13">
        <v>6</v>
      </c>
      <c r="F13" s="2">
        <f>'Array Construct'!D19*COB!E13*0.000000001*1000000000000/0.00000000000885/COB!D13</f>
        <v>0.10847457627118644</v>
      </c>
      <c r="G13">
        <v>3</v>
      </c>
      <c r="H13" s="6">
        <f>Geometricals!M13</f>
        <v>60</v>
      </c>
      <c r="I13" s="6">
        <f>Geometricals!N13</f>
        <v>90</v>
      </c>
      <c r="J13">
        <f>F13*1000/(2*(H13+I13))</f>
        <v>0.3615819209039548</v>
      </c>
      <c r="K13" s="6">
        <f>J13/1.6</f>
        <v>0.22598870056497175</v>
      </c>
      <c r="L13">
        <f>E13*4+6*G13</f>
        <v>42</v>
      </c>
      <c r="O13" s="2"/>
      <c r="P13" s="2"/>
      <c r="Q13" s="2"/>
      <c r="R13" s="2"/>
      <c r="S13" s="2"/>
      <c r="T13" s="2"/>
      <c r="U13" s="6"/>
      <c r="V13" s="6"/>
    </row>
  </sheetData>
  <mergeCells count="4">
    <mergeCell ref="A2:A4"/>
    <mergeCell ref="A5:A7"/>
    <mergeCell ref="A8:A10"/>
    <mergeCell ref="A11:A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P14" sqref="P14"/>
    </sheetView>
  </sheetViews>
  <sheetFormatPr baseColWidth="10" defaultColWidth="8.83203125" defaultRowHeight="15" x14ac:dyDescent="0.2"/>
  <cols>
    <col min="1" max="1" width="15.6640625" bestFit="1" customWidth="1"/>
    <col min="2" max="2" width="16.83203125" bestFit="1" customWidth="1"/>
    <col min="3" max="3" width="10.1640625" bestFit="1" customWidth="1"/>
    <col min="10" max="10" width="10.5" bestFit="1" customWidth="1"/>
    <col min="11" max="11" width="9.83203125" bestFit="1" customWidth="1"/>
    <col min="13" max="13" width="8.83203125" style="11"/>
    <col min="14" max="14" width="8.83203125" style="2"/>
  </cols>
  <sheetData>
    <row r="1" spans="1:14" s="4" customFormat="1" x14ac:dyDescent="0.2">
      <c r="A1" s="4" t="s">
        <v>98</v>
      </c>
      <c r="B1" s="4" t="s">
        <v>99</v>
      </c>
      <c r="C1" s="4" t="s">
        <v>100</v>
      </c>
      <c r="D1" s="4" t="s">
        <v>17</v>
      </c>
      <c r="E1" s="4" t="s">
        <v>101</v>
      </c>
      <c r="F1" s="4" t="s">
        <v>102</v>
      </c>
      <c r="J1" s="4" t="s">
        <v>104</v>
      </c>
      <c r="K1" s="4" t="s">
        <v>105</v>
      </c>
      <c r="L1" s="4" t="s">
        <v>103</v>
      </c>
      <c r="M1" s="11" t="s">
        <v>111</v>
      </c>
      <c r="N1" s="12" t="s">
        <v>118</v>
      </c>
    </row>
    <row r="2" spans="1:14" x14ac:dyDescent="0.2">
      <c r="A2" s="9">
        <v>25</v>
      </c>
      <c r="B2">
        <v>3</v>
      </c>
      <c r="C2">
        <v>15</v>
      </c>
      <c r="D2">
        <v>20</v>
      </c>
      <c r="E2">
        <v>20</v>
      </c>
      <c r="F2">
        <v>15</v>
      </c>
      <c r="H2">
        <f t="shared" ref="H2:H13" si="0">A2+2*B2+C2</f>
        <v>46</v>
      </c>
      <c r="I2">
        <f t="shared" ref="I2:I13" si="1">(3*D2+2*E2+F2)</f>
        <v>115</v>
      </c>
      <c r="J2">
        <f t="shared" ref="J2:J13" si="2">I2/2</f>
        <v>57.5</v>
      </c>
      <c r="K2">
        <f t="shared" ref="K2:K13" si="3">H2</f>
        <v>46</v>
      </c>
      <c r="L2">
        <f t="shared" ref="L2:L13" si="4">J2*K2*0.000001</f>
        <v>2.6449999999999998E-3</v>
      </c>
      <c r="M2" s="11">
        <f>(L2-$L$2)/$L$2</f>
        <v>0</v>
      </c>
      <c r="N2" s="2">
        <f>J2/K2</f>
        <v>1.25</v>
      </c>
    </row>
    <row r="3" spans="1:14" x14ac:dyDescent="0.2">
      <c r="A3" s="9">
        <v>20</v>
      </c>
      <c r="B3">
        <v>3</v>
      </c>
      <c r="C3">
        <v>15</v>
      </c>
      <c r="D3">
        <v>20</v>
      </c>
      <c r="E3">
        <v>20</v>
      </c>
      <c r="F3">
        <v>15</v>
      </c>
      <c r="H3">
        <f t="shared" si="0"/>
        <v>41</v>
      </c>
      <c r="I3">
        <f t="shared" si="1"/>
        <v>115</v>
      </c>
      <c r="J3">
        <f t="shared" si="2"/>
        <v>57.5</v>
      </c>
      <c r="K3">
        <f t="shared" si="3"/>
        <v>41</v>
      </c>
      <c r="L3">
        <f t="shared" si="4"/>
        <v>2.3574999999999998E-3</v>
      </c>
      <c r="M3" s="11">
        <f t="shared" ref="M3:M13" si="5">(L3-$L$2)/$L$2</f>
        <v>-0.10869565217391305</v>
      </c>
      <c r="N3" s="2">
        <f t="shared" ref="N3:N13" si="6">J3/K3</f>
        <v>1.4024390243902438</v>
      </c>
    </row>
    <row r="4" spans="1:14" x14ac:dyDescent="0.2">
      <c r="A4" s="9">
        <v>15</v>
      </c>
      <c r="B4">
        <v>3</v>
      </c>
      <c r="C4">
        <v>15</v>
      </c>
      <c r="D4">
        <v>20</v>
      </c>
      <c r="E4">
        <v>20</v>
      </c>
      <c r="F4">
        <v>15</v>
      </c>
      <c r="H4">
        <f t="shared" si="0"/>
        <v>36</v>
      </c>
      <c r="I4">
        <f t="shared" si="1"/>
        <v>115</v>
      </c>
      <c r="J4">
        <f t="shared" si="2"/>
        <v>57.5</v>
      </c>
      <c r="K4">
        <f t="shared" si="3"/>
        <v>36</v>
      </c>
      <c r="L4">
        <f t="shared" si="4"/>
        <v>2.0699999999999998E-3</v>
      </c>
      <c r="M4" s="11">
        <f t="shared" si="5"/>
        <v>-0.21739130434782611</v>
      </c>
      <c r="N4" s="2">
        <f t="shared" si="6"/>
        <v>1.5972222222222223</v>
      </c>
    </row>
    <row r="5" spans="1:14" x14ac:dyDescent="0.2">
      <c r="A5" s="9">
        <v>10</v>
      </c>
      <c r="B5">
        <v>3</v>
      </c>
      <c r="C5">
        <v>15</v>
      </c>
      <c r="D5">
        <v>20</v>
      </c>
      <c r="E5">
        <v>20</v>
      </c>
      <c r="F5">
        <v>15</v>
      </c>
      <c r="H5">
        <f t="shared" si="0"/>
        <v>31</v>
      </c>
      <c r="I5">
        <f t="shared" si="1"/>
        <v>115</v>
      </c>
      <c r="J5">
        <f t="shared" si="2"/>
        <v>57.5</v>
      </c>
      <c r="K5">
        <f t="shared" si="3"/>
        <v>31</v>
      </c>
      <c r="L5">
        <f t="shared" si="4"/>
        <v>1.7825E-3</v>
      </c>
      <c r="M5" s="11">
        <f t="shared" si="5"/>
        <v>-0.32608695652173908</v>
      </c>
      <c r="N5" s="2">
        <f>J5/K5</f>
        <v>1.8548387096774193</v>
      </c>
    </row>
    <row r="6" spans="1:14" x14ac:dyDescent="0.2">
      <c r="A6">
        <v>25</v>
      </c>
      <c r="B6">
        <v>3</v>
      </c>
      <c r="C6" s="9">
        <v>20</v>
      </c>
      <c r="D6">
        <v>20</v>
      </c>
      <c r="E6">
        <v>20</v>
      </c>
      <c r="F6">
        <v>15</v>
      </c>
      <c r="H6">
        <f t="shared" si="0"/>
        <v>51</v>
      </c>
      <c r="I6">
        <f t="shared" si="1"/>
        <v>115</v>
      </c>
      <c r="J6">
        <f t="shared" si="2"/>
        <v>57.5</v>
      </c>
      <c r="K6">
        <f t="shared" si="3"/>
        <v>51</v>
      </c>
      <c r="L6">
        <f t="shared" si="4"/>
        <v>2.9324999999999998E-3</v>
      </c>
      <c r="M6" s="11">
        <f t="shared" si="5"/>
        <v>0.10869565217391305</v>
      </c>
      <c r="N6" s="2">
        <f t="shared" si="6"/>
        <v>1.1274509803921569</v>
      </c>
    </row>
    <row r="7" spans="1:14" x14ac:dyDescent="0.2">
      <c r="A7">
        <v>25</v>
      </c>
      <c r="B7">
        <v>3</v>
      </c>
      <c r="C7" s="9">
        <v>10</v>
      </c>
      <c r="D7">
        <v>20</v>
      </c>
      <c r="E7">
        <v>20</v>
      </c>
      <c r="F7">
        <v>15</v>
      </c>
      <c r="H7">
        <f t="shared" si="0"/>
        <v>41</v>
      </c>
      <c r="I7">
        <f t="shared" si="1"/>
        <v>115</v>
      </c>
      <c r="J7">
        <f t="shared" si="2"/>
        <v>57.5</v>
      </c>
      <c r="K7">
        <f t="shared" si="3"/>
        <v>41</v>
      </c>
      <c r="L7">
        <f t="shared" si="4"/>
        <v>2.3574999999999998E-3</v>
      </c>
      <c r="M7" s="11">
        <f t="shared" si="5"/>
        <v>-0.10869565217391305</v>
      </c>
      <c r="N7" s="2">
        <f t="shared" si="6"/>
        <v>1.4024390243902438</v>
      </c>
    </row>
    <row r="8" spans="1:14" x14ac:dyDescent="0.2">
      <c r="A8">
        <v>25</v>
      </c>
      <c r="B8">
        <v>3</v>
      </c>
      <c r="C8">
        <v>15</v>
      </c>
      <c r="D8" s="9">
        <v>15</v>
      </c>
      <c r="E8">
        <v>20</v>
      </c>
      <c r="F8">
        <v>15</v>
      </c>
      <c r="H8">
        <f t="shared" si="0"/>
        <v>46</v>
      </c>
      <c r="I8">
        <f t="shared" si="1"/>
        <v>100</v>
      </c>
      <c r="J8">
        <f t="shared" si="2"/>
        <v>50</v>
      </c>
      <c r="K8">
        <f t="shared" si="3"/>
        <v>46</v>
      </c>
      <c r="L8">
        <f t="shared" si="4"/>
        <v>2.3E-3</v>
      </c>
      <c r="M8" s="11">
        <f t="shared" si="5"/>
        <v>-0.13043478260869559</v>
      </c>
      <c r="N8" s="2">
        <f t="shared" si="6"/>
        <v>1.0869565217391304</v>
      </c>
    </row>
    <row r="9" spans="1:14" x14ac:dyDescent="0.2">
      <c r="A9">
        <v>25</v>
      </c>
      <c r="B9">
        <v>3</v>
      </c>
      <c r="C9">
        <v>15</v>
      </c>
      <c r="D9" s="9">
        <v>25</v>
      </c>
      <c r="E9">
        <v>20</v>
      </c>
      <c r="F9">
        <v>15</v>
      </c>
      <c r="H9">
        <f t="shared" si="0"/>
        <v>46</v>
      </c>
      <c r="I9">
        <f t="shared" si="1"/>
        <v>130</v>
      </c>
      <c r="J9">
        <f t="shared" si="2"/>
        <v>65</v>
      </c>
      <c r="K9">
        <f t="shared" si="3"/>
        <v>46</v>
      </c>
      <c r="L9">
        <f t="shared" si="4"/>
        <v>2.99E-3</v>
      </c>
      <c r="M9" s="11">
        <f t="shared" si="5"/>
        <v>0.13043478260869576</v>
      </c>
      <c r="N9" s="2">
        <f t="shared" si="6"/>
        <v>1.4130434782608696</v>
      </c>
    </row>
    <row r="10" spans="1:14" x14ac:dyDescent="0.2">
      <c r="A10">
        <v>25</v>
      </c>
      <c r="B10">
        <v>3</v>
      </c>
      <c r="C10">
        <v>15</v>
      </c>
      <c r="D10" s="10">
        <v>20</v>
      </c>
      <c r="E10" s="9">
        <v>15</v>
      </c>
      <c r="F10">
        <v>15</v>
      </c>
      <c r="H10">
        <f t="shared" si="0"/>
        <v>46</v>
      </c>
      <c r="I10">
        <f t="shared" si="1"/>
        <v>105</v>
      </c>
      <c r="J10">
        <f t="shared" si="2"/>
        <v>52.5</v>
      </c>
      <c r="K10">
        <f t="shared" si="3"/>
        <v>46</v>
      </c>
      <c r="L10">
        <f t="shared" si="4"/>
        <v>2.415E-3</v>
      </c>
      <c r="M10" s="11">
        <f t="shared" si="5"/>
        <v>-8.6956521739130335E-2</v>
      </c>
      <c r="N10" s="2">
        <f t="shared" si="6"/>
        <v>1.1413043478260869</v>
      </c>
    </row>
    <row r="11" spans="1:14" x14ac:dyDescent="0.2">
      <c r="A11">
        <v>25</v>
      </c>
      <c r="B11">
        <v>3</v>
      </c>
      <c r="C11">
        <v>15</v>
      </c>
      <c r="D11">
        <v>20</v>
      </c>
      <c r="E11" s="9">
        <v>25</v>
      </c>
      <c r="F11">
        <v>15</v>
      </c>
      <c r="H11">
        <f t="shared" si="0"/>
        <v>46</v>
      </c>
      <c r="I11">
        <f t="shared" si="1"/>
        <v>125</v>
      </c>
      <c r="J11">
        <f t="shared" si="2"/>
        <v>62.5</v>
      </c>
      <c r="K11">
        <f t="shared" si="3"/>
        <v>46</v>
      </c>
      <c r="L11">
        <f t="shared" si="4"/>
        <v>2.875E-3</v>
      </c>
      <c r="M11" s="11">
        <f t="shared" si="5"/>
        <v>8.6956521739130502E-2</v>
      </c>
      <c r="N11" s="2">
        <f t="shared" si="6"/>
        <v>1.3586956521739131</v>
      </c>
    </row>
    <row r="12" spans="1:14" x14ac:dyDescent="0.2">
      <c r="A12">
        <v>25</v>
      </c>
      <c r="B12">
        <v>3</v>
      </c>
      <c r="C12">
        <v>15</v>
      </c>
      <c r="D12">
        <v>20</v>
      </c>
      <c r="E12" s="10">
        <v>20</v>
      </c>
      <c r="F12" s="9">
        <v>20</v>
      </c>
      <c r="H12">
        <f t="shared" si="0"/>
        <v>46</v>
      </c>
      <c r="I12">
        <f t="shared" si="1"/>
        <v>120</v>
      </c>
      <c r="J12">
        <f t="shared" si="2"/>
        <v>60</v>
      </c>
      <c r="K12">
        <f t="shared" si="3"/>
        <v>46</v>
      </c>
      <c r="L12">
        <f t="shared" si="4"/>
        <v>2.7599999999999999E-3</v>
      </c>
      <c r="M12" s="11">
        <f t="shared" si="5"/>
        <v>4.3478260869565251E-2</v>
      </c>
      <c r="N12" s="2">
        <f t="shared" si="6"/>
        <v>1.3043478260869565</v>
      </c>
    </row>
    <row r="13" spans="1:14" x14ac:dyDescent="0.2">
      <c r="A13">
        <v>25</v>
      </c>
      <c r="B13">
        <v>3</v>
      </c>
      <c r="C13">
        <v>15</v>
      </c>
      <c r="D13">
        <v>20</v>
      </c>
      <c r="E13">
        <v>20</v>
      </c>
      <c r="F13" s="9">
        <v>10</v>
      </c>
      <c r="H13">
        <f t="shared" si="0"/>
        <v>46</v>
      </c>
      <c r="I13">
        <f t="shared" si="1"/>
        <v>110</v>
      </c>
      <c r="J13">
        <f t="shared" si="2"/>
        <v>55</v>
      </c>
      <c r="K13">
        <f t="shared" si="3"/>
        <v>46</v>
      </c>
      <c r="L13">
        <f t="shared" si="4"/>
        <v>2.5299999999999997E-3</v>
      </c>
      <c r="M13" s="11">
        <f t="shared" si="5"/>
        <v>-4.3478260869565251E-2</v>
      </c>
      <c r="N13" s="2">
        <f t="shared" si="6"/>
        <v>1.1956521739130435</v>
      </c>
    </row>
    <row r="15" spans="1:14" x14ac:dyDescent="0.2">
      <c r="A15" t="s">
        <v>106</v>
      </c>
    </row>
    <row r="16" spans="1:14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2"/>
  <sheetViews>
    <sheetView workbookViewId="0">
      <selection activeCell="C31" sqref="C31"/>
    </sheetView>
  </sheetViews>
  <sheetFormatPr baseColWidth="10" defaultColWidth="8.83203125" defaultRowHeight="15" x14ac:dyDescent="0.2"/>
  <cols>
    <col min="16" max="16" width="8.83203125" style="11"/>
    <col min="17" max="17" width="8.83203125" style="2"/>
  </cols>
  <sheetData>
    <row r="1" spans="1:17" s="4" customFormat="1" x14ac:dyDescent="0.2">
      <c r="B1" s="4" t="s">
        <v>34</v>
      </c>
      <c r="C1" s="4" t="s">
        <v>37</v>
      </c>
      <c r="D1" s="4" t="s">
        <v>38</v>
      </c>
      <c r="E1" s="4" t="s">
        <v>39</v>
      </c>
      <c r="G1" s="4" t="s">
        <v>37</v>
      </c>
      <c r="H1" s="4" t="s">
        <v>40</v>
      </c>
      <c r="I1" s="4" t="s">
        <v>58</v>
      </c>
      <c r="K1" s="4" t="s">
        <v>54</v>
      </c>
      <c r="L1" s="4" t="s">
        <v>42</v>
      </c>
      <c r="M1" s="4" t="s">
        <v>43</v>
      </c>
      <c r="N1" s="4" t="s">
        <v>30</v>
      </c>
      <c r="O1" s="4" t="s">
        <v>31</v>
      </c>
      <c r="P1" s="11" t="s">
        <v>111</v>
      </c>
      <c r="Q1" s="12" t="s">
        <v>118</v>
      </c>
    </row>
    <row r="2" spans="1:17" x14ac:dyDescent="0.2">
      <c r="B2" s="4" t="s">
        <v>32</v>
      </c>
      <c r="C2">
        <f t="shared" ref="C2:C7" si="0">G2</f>
        <v>24</v>
      </c>
      <c r="D2">
        <v>15</v>
      </c>
      <c r="E2">
        <v>2</v>
      </c>
      <c r="G2" s="9">
        <v>24</v>
      </c>
      <c r="H2">
        <v>15</v>
      </c>
      <c r="I2">
        <f t="shared" ref="I2:I7" si="1">PI()*G2</f>
        <v>75.398223686155035</v>
      </c>
      <c r="K2">
        <f t="shared" ref="K2:K7" si="2">C2+D2+E2*2</f>
        <v>43</v>
      </c>
      <c r="L2">
        <f t="shared" ref="L2:L7" si="3">G2+H2</f>
        <v>39</v>
      </c>
      <c r="M2">
        <f t="shared" ref="M2:M7" si="4">L2</f>
        <v>39</v>
      </c>
      <c r="N2">
        <f t="shared" ref="N2:N7" si="5">K2</f>
        <v>43</v>
      </c>
      <c r="O2">
        <f t="shared" ref="O2:O7" si="6">N2*M2*0.000001</f>
        <v>1.6769999999999999E-3</v>
      </c>
      <c r="P2" s="11">
        <f t="shared" ref="P2:P7" si="7">(O2-$O$2)/$O$2</f>
        <v>0</v>
      </c>
      <c r="Q2" s="2">
        <f t="shared" ref="Q2:Q7" si="8">(M2/N2)^-1</f>
        <v>1.1025641025641026</v>
      </c>
    </row>
    <row r="3" spans="1:17" x14ac:dyDescent="0.2">
      <c r="B3" s="4" t="s">
        <v>32</v>
      </c>
      <c r="C3">
        <f t="shared" si="0"/>
        <v>30</v>
      </c>
      <c r="D3">
        <v>15</v>
      </c>
      <c r="E3">
        <v>2</v>
      </c>
      <c r="G3" s="9">
        <v>30</v>
      </c>
      <c r="H3">
        <v>15</v>
      </c>
      <c r="I3">
        <f t="shared" si="1"/>
        <v>94.247779607693786</v>
      </c>
      <c r="K3">
        <f t="shared" si="2"/>
        <v>49</v>
      </c>
      <c r="L3">
        <f t="shared" si="3"/>
        <v>45</v>
      </c>
      <c r="M3">
        <f t="shared" si="4"/>
        <v>45</v>
      </c>
      <c r="N3">
        <f t="shared" si="5"/>
        <v>49</v>
      </c>
      <c r="O3">
        <f t="shared" si="6"/>
        <v>2.2049999999999999E-3</v>
      </c>
      <c r="P3" s="11">
        <f t="shared" si="7"/>
        <v>0.31484794275491956</v>
      </c>
      <c r="Q3" s="2">
        <f t="shared" si="8"/>
        <v>1.0888888888888888</v>
      </c>
    </row>
    <row r="4" spans="1:17" x14ac:dyDescent="0.2">
      <c r="B4" s="4" t="s">
        <v>32</v>
      </c>
      <c r="C4">
        <f t="shared" si="0"/>
        <v>20</v>
      </c>
      <c r="D4">
        <v>15</v>
      </c>
      <c r="E4">
        <v>2</v>
      </c>
      <c r="G4" s="9">
        <v>20</v>
      </c>
      <c r="H4">
        <v>15</v>
      </c>
      <c r="I4">
        <f t="shared" si="1"/>
        <v>62.831853071795862</v>
      </c>
      <c r="K4">
        <f t="shared" si="2"/>
        <v>39</v>
      </c>
      <c r="L4">
        <f t="shared" si="3"/>
        <v>35</v>
      </c>
      <c r="M4">
        <f t="shared" si="4"/>
        <v>35</v>
      </c>
      <c r="N4">
        <f t="shared" si="5"/>
        <v>39</v>
      </c>
      <c r="O4">
        <f t="shared" si="6"/>
        <v>1.3649999999999999E-3</v>
      </c>
      <c r="P4" s="11">
        <f t="shared" si="7"/>
        <v>-0.18604651162790697</v>
      </c>
      <c r="Q4" s="2">
        <f t="shared" si="8"/>
        <v>1.1142857142857143</v>
      </c>
    </row>
    <row r="5" spans="1:17" x14ac:dyDescent="0.2">
      <c r="B5" s="4" t="s">
        <v>32</v>
      </c>
      <c r="C5">
        <f t="shared" si="0"/>
        <v>24</v>
      </c>
      <c r="D5">
        <v>15</v>
      </c>
      <c r="E5">
        <v>2</v>
      </c>
      <c r="G5">
        <v>24</v>
      </c>
      <c r="H5" s="9">
        <v>20</v>
      </c>
      <c r="I5">
        <f t="shared" si="1"/>
        <v>75.398223686155035</v>
      </c>
      <c r="K5">
        <f t="shared" si="2"/>
        <v>43</v>
      </c>
      <c r="L5">
        <f t="shared" si="3"/>
        <v>44</v>
      </c>
      <c r="M5">
        <f t="shared" si="4"/>
        <v>44</v>
      </c>
      <c r="N5">
        <f t="shared" si="5"/>
        <v>43</v>
      </c>
      <c r="O5">
        <f t="shared" si="6"/>
        <v>1.892E-3</v>
      </c>
      <c r="P5" s="11">
        <f t="shared" si="7"/>
        <v>0.1282051282051283</v>
      </c>
      <c r="Q5" s="2">
        <f t="shared" si="8"/>
        <v>0.97727272727272718</v>
      </c>
    </row>
    <row r="6" spans="1:17" x14ac:dyDescent="0.2">
      <c r="B6" s="4" t="s">
        <v>32</v>
      </c>
      <c r="C6">
        <f t="shared" si="0"/>
        <v>24</v>
      </c>
      <c r="D6">
        <v>15</v>
      </c>
      <c r="E6">
        <v>2</v>
      </c>
      <c r="G6">
        <v>24</v>
      </c>
      <c r="H6" s="9">
        <v>10</v>
      </c>
      <c r="I6">
        <f t="shared" si="1"/>
        <v>75.398223686155035</v>
      </c>
      <c r="K6">
        <f t="shared" si="2"/>
        <v>43</v>
      </c>
      <c r="L6">
        <f t="shared" si="3"/>
        <v>34</v>
      </c>
      <c r="M6">
        <f t="shared" si="4"/>
        <v>34</v>
      </c>
      <c r="N6">
        <f t="shared" si="5"/>
        <v>43</v>
      </c>
      <c r="O6">
        <f t="shared" si="6"/>
        <v>1.462E-3</v>
      </c>
      <c r="P6" s="11">
        <f t="shared" si="7"/>
        <v>-0.12820512820512817</v>
      </c>
      <c r="Q6" s="2">
        <f t="shared" si="8"/>
        <v>1.2647058823529413</v>
      </c>
    </row>
    <row r="7" spans="1:17" x14ac:dyDescent="0.2">
      <c r="B7" s="4" t="s">
        <v>32</v>
      </c>
      <c r="C7">
        <f t="shared" si="0"/>
        <v>24</v>
      </c>
      <c r="D7">
        <v>15</v>
      </c>
      <c r="E7">
        <v>2</v>
      </c>
      <c r="G7">
        <v>24</v>
      </c>
      <c r="H7" s="9">
        <v>15</v>
      </c>
      <c r="I7">
        <f t="shared" si="1"/>
        <v>75.398223686155035</v>
      </c>
      <c r="K7">
        <f t="shared" si="2"/>
        <v>43</v>
      </c>
      <c r="L7">
        <f t="shared" si="3"/>
        <v>39</v>
      </c>
      <c r="M7">
        <f t="shared" si="4"/>
        <v>39</v>
      </c>
      <c r="N7">
        <f t="shared" si="5"/>
        <v>43</v>
      </c>
      <c r="O7">
        <f t="shared" si="6"/>
        <v>1.6769999999999999E-3</v>
      </c>
      <c r="P7" s="11">
        <f t="shared" si="7"/>
        <v>0</v>
      </c>
      <c r="Q7" s="2">
        <f t="shared" si="8"/>
        <v>1.1025641025641026</v>
      </c>
    </row>
    <row r="8" spans="1:17" x14ac:dyDescent="0.2">
      <c r="B8" s="4"/>
    </row>
    <row r="9" spans="1:17" x14ac:dyDescent="0.2">
      <c r="B9" s="4"/>
    </row>
    <row r="10" spans="1:17" x14ac:dyDescent="0.2">
      <c r="B10" s="4"/>
    </row>
    <row r="11" spans="1:17" x14ac:dyDescent="0.2">
      <c r="A11" t="s">
        <v>116</v>
      </c>
      <c r="B11" s="4"/>
    </row>
    <row r="12" spans="1:17" x14ac:dyDescent="0.2">
      <c r="A12" t="s">
        <v>117</v>
      </c>
      <c r="B12" s="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0"/>
  <sheetViews>
    <sheetView workbookViewId="0">
      <selection activeCell="C31" sqref="C31"/>
    </sheetView>
  </sheetViews>
  <sheetFormatPr baseColWidth="10" defaultColWidth="8.83203125" defaultRowHeight="15" x14ac:dyDescent="0.2"/>
  <cols>
    <col min="16" max="16" width="8.83203125" style="11"/>
    <col min="17" max="17" width="8.83203125" style="2"/>
  </cols>
  <sheetData>
    <row r="1" spans="1:17" x14ac:dyDescent="0.2">
      <c r="B1" s="4" t="s">
        <v>34</v>
      </c>
      <c r="C1" t="s">
        <v>47</v>
      </c>
      <c r="D1" t="s">
        <v>37</v>
      </c>
      <c r="E1" t="s">
        <v>38</v>
      </c>
      <c r="F1" t="s">
        <v>39</v>
      </c>
      <c r="G1" t="s">
        <v>47</v>
      </c>
      <c r="H1" t="s">
        <v>37</v>
      </c>
      <c r="I1" t="s">
        <v>40</v>
      </c>
      <c r="J1" t="s">
        <v>58</v>
      </c>
      <c r="K1" t="s">
        <v>48</v>
      </c>
      <c r="L1" t="s">
        <v>49</v>
      </c>
      <c r="M1" t="s">
        <v>43</v>
      </c>
      <c r="N1" t="s">
        <v>30</v>
      </c>
      <c r="O1" t="s">
        <v>110</v>
      </c>
      <c r="P1" s="11" t="s">
        <v>111</v>
      </c>
      <c r="Q1" s="12" t="s">
        <v>118</v>
      </c>
    </row>
    <row r="2" spans="1:17" x14ac:dyDescent="0.2">
      <c r="B2" s="4" t="s">
        <v>32</v>
      </c>
      <c r="C2">
        <v>5</v>
      </c>
      <c r="D2" s="9">
        <v>14</v>
      </c>
      <c r="E2">
        <v>15</v>
      </c>
      <c r="F2">
        <v>2</v>
      </c>
      <c r="G2">
        <v>5</v>
      </c>
      <c r="H2">
        <f>D2</f>
        <v>14</v>
      </c>
      <c r="I2">
        <v>15</v>
      </c>
      <c r="J2">
        <f>PI()*D2</f>
        <v>43.982297150257104</v>
      </c>
      <c r="K2">
        <f>2*C2+D2+E2+2*F2</f>
        <v>43</v>
      </c>
      <c r="L2">
        <f>G2*2+H2+I2</f>
        <v>39</v>
      </c>
      <c r="M2">
        <f>L2</f>
        <v>39</v>
      </c>
      <c r="N2">
        <f>K2</f>
        <v>43</v>
      </c>
      <c r="O2">
        <f>N2*M2*0.000001</f>
        <v>1.6769999999999999E-3</v>
      </c>
      <c r="P2" s="11">
        <f>(O2-$O$2)/$O$2</f>
        <v>0</v>
      </c>
      <c r="Q2" s="2">
        <f>(M2/N2)^-1</f>
        <v>1.1025641025641026</v>
      </c>
    </row>
    <row r="3" spans="1:17" x14ac:dyDescent="0.2">
      <c r="B3" s="4" t="s">
        <v>32</v>
      </c>
      <c r="C3">
        <v>5</v>
      </c>
      <c r="D3" s="9">
        <v>20</v>
      </c>
      <c r="E3">
        <v>15</v>
      </c>
      <c r="F3">
        <v>2</v>
      </c>
      <c r="G3">
        <v>5</v>
      </c>
      <c r="H3">
        <f>D3</f>
        <v>20</v>
      </c>
      <c r="I3">
        <v>15</v>
      </c>
      <c r="J3">
        <f t="shared" ref="J3:J13" si="0">PI()*D3</f>
        <v>62.831853071795862</v>
      </c>
      <c r="K3">
        <f t="shared" ref="K3:K13" si="1">2*C3+D3+E3+2*F3</f>
        <v>49</v>
      </c>
      <c r="L3">
        <f t="shared" ref="L3:L13" si="2">G3*2+H3+I3</f>
        <v>45</v>
      </c>
      <c r="M3">
        <f t="shared" ref="M3:M13" si="3">L3</f>
        <v>45</v>
      </c>
      <c r="N3">
        <f t="shared" ref="N3:N13" si="4">K3</f>
        <v>49</v>
      </c>
      <c r="O3">
        <f t="shared" ref="O3:O13" si="5">N3*M3*0.000001</f>
        <v>2.2049999999999999E-3</v>
      </c>
      <c r="P3" s="11">
        <f t="shared" ref="P3:P13" si="6">(O3-$O$2)/$O$2</f>
        <v>0.31484794275491956</v>
      </c>
      <c r="Q3" s="2">
        <f t="shared" ref="Q3:Q13" si="7">(M3/N3)^-1</f>
        <v>1.0888888888888888</v>
      </c>
    </row>
    <row r="4" spans="1:17" x14ac:dyDescent="0.2">
      <c r="B4" s="4" t="s">
        <v>32</v>
      </c>
      <c r="C4">
        <v>5</v>
      </c>
      <c r="D4" s="9">
        <v>25</v>
      </c>
      <c r="E4">
        <v>15</v>
      </c>
      <c r="F4">
        <v>2</v>
      </c>
      <c r="G4">
        <v>5</v>
      </c>
      <c r="H4">
        <f>D4</f>
        <v>25</v>
      </c>
      <c r="I4">
        <v>15</v>
      </c>
      <c r="J4">
        <f t="shared" si="0"/>
        <v>78.539816339744831</v>
      </c>
      <c r="K4">
        <f t="shared" si="1"/>
        <v>54</v>
      </c>
      <c r="L4">
        <f t="shared" si="2"/>
        <v>50</v>
      </c>
      <c r="M4">
        <f t="shared" si="3"/>
        <v>50</v>
      </c>
      <c r="N4">
        <f t="shared" si="4"/>
        <v>54</v>
      </c>
      <c r="O4">
        <f t="shared" si="5"/>
        <v>2.6999999999999997E-3</v>
      </c>
      <c r="P4" s="11">
        <f t="shared" si="6"/>
        <v>0.61001788908765642</v>
      </c>
      <c r="Q4" s="2">
        <f t="shared" si="7"/>
        <v>1.08</v>
      </c>
    </row>
    <row r="5" spans="1:17" x14ac:dyDescent="0.2">
      <c r="B5" s="4" t="s">
        <v>32</v>
      </c>
      <c r="C5">
        <v>5</v>
      </c>
      <c r="D5">
        <v>10</v>
      </c>
      <c r="E5" s="9">
        <v>15</v>
      </c>
      <c r="F5">
        <v>2</v>
      </c>
      <c r="G5">
        <v>5</v>
      </c>
      <c r="H5">
        <v>14</v>
      </c>
      <c r="I5">
        <v>15</v>
      </c>
      <c r="J5">
        <f t="shared" si="0"/>
        <v>31.415926535897931</v>
      </c>
      <c r="K5">
        <f t="shared" si="1"/>
        <v>39</v>
      </c>
      <c r="L5">
        <f t="shared" si="2"/>
        <v>39</v>
      </c>
      <c r="M5">
        <f t="shared" si="3"/>
        <v>39</v>
      </c>
      <c r="N5">
        <f t="shared" si="4"/>
        <v>39</v>
      </c>
      <c r="O5">
        <f t="shared" si="5"/>
        <v>1.521E-3</v>
      </c>
      <c r="P5" s="11">
        <f t="shared" si="6"/>
        <v>-9.3023255813953432E-2</v>
      </c>
      <c r="Q5" s="2">
        <f t="shared" si="7"/>
        <v>1</v>
      </c>
    </row>
    <row r="6" spans="1:17" x14ac:dyDescent="0.2">
      <c r="B6" s="4" t="s">
        <v>32</v>
      </c>
      <c r="C6">
        <v>5</v>
      </c>
      <c r="D6">
        <v>14</v>
      </c>
      <c r="E6" s="9">
        <v>10</v>
      </c>
      <c r="F6">
        <v>2</v>
      </c>
      <c r="G6">
        <v>5</v>
      </c>
      <c r="H6">
        <v>14</v>
      </c>
      <c r="I6">
        <v>15</v>
      </c>
      <c r="J6">
        <f t="shared" si="0"/>
        <v>43.982297150257104</v>
      </c>
      <c r="K6">
        <f t="shared" si="1"/>
        <v>38</v>
      </c>
      <c r="L6">
        <f t="shared" si="2"/>
        <v>39</v>
      </c>
      <c r="M6">
        <f t="shared" si="3"/>
        <v>39</v>
      </c>
      <c r="N6">
        <f t="shared" si="4"/>
        <v>38</v>
      </c>
      <c r="O6">
        <f t="shared" si="5"/>
        <v>1.482E-3</v>
      </c>
      <c r="P6" s="11">
        <f t="shared" si="6"/>
        <v>-0.11627906976744179</v>
      </c>
      <c r="Q6" s="2">
        <f t="shared" si="7"/>
        <v>0.97435897435897423</v>
      </c>
    </row>
    <row r="7" spans="1:17" x14ac:dyDescent="0.2">
      <c r="B7" s="4" t="s">
        <v>32</v>
      </c>
      <c r="C7">
        <v>5</v>
      </c>
      <c r="D7">
        <v>14</v>
      </c>
      <c r="E7" s="9">
        <v>20</v>
      </c>
      <c r="F7">
        <v>2</v>
      </c>
      <c r="G7">
        <v>5</v>
      </c>
      <c r="H7">
        <v>14</v>
      </c>
      <c r="I7">
        <v>15</v>
      </c>
      <c r="J7">
        <f t="shared" si="0"/>
        <v>43.982297150257104</v>
      </c>
      <c r="K7">
        <f t="shared" si="1"/>
        <v>48</v>
      </c>
      <c r="L7">
        <f t="shared" si="2"/>
        <v>39</v>
      </c>
      <c r="M7">
        <f t="shared" si="3"/>
        <v>39</v>
      </c>
      <c r="N7">
        <f t="shared" si="4"/>
        <v>48</v>
      </c>
      <c r="O7">
        <f t="shared" si="5"/>
        <v>1.872E-3</v>
      </c>
      <c r="P7" s="11">
        <f t="shared" si="6"/>
        <v>0.11627906976744191</v>
      </c>
      <c r="Q7" s="2">
        <f t="shared" si="7"/>
        <v>1.2307692307692308</v>
      </c>
    </row>
    <row r="8" spans="1:17" x14ac:dyDescent="0.2">
      <c r="B8" s="4" t="s">
        <v>32</v>
      </c>
      <c r="C8">
        <v>5</v>
      </c>
      <c r="D8">
        <v>14</v>
      </c>
      <c r="E8">
        <v>15</v>
      </c>
      <c r="F8" s="9">
        <v>3</v>
      </c>
      <c r="G8">
        <v>5</v>
      </c>
      <c r="H8">
        <v>14</v>
      </c>
      <c r="I8">
        <v>15</v>
      </c>
      <c r="J8">
        <f t="shared" si="0"/>
        <v>43.982297150257104</v>
      </c>
      <c r="K8">
        <f t="shared" si="1"/>
        <v>45</v>
      </c>
      <c r="L8">
        <f t="shared" si="2"/>
        <v>39</v>
      </c>
      <c r="M8">
        <f t="shared" si="3"/>
        <v>39</v>
      </c>
      <c r="N8">
        <f t="shared" si="4"/>
        <v>45</v>
      </c>
      <c r="O8">
        <f t="shared" si="5"/>
        <v>1.7549999999999998E-3</v>
      </c>
      <c r="P8" s="11">
        <f t="shared" si="6"/>
        <v>4.6511627906976716E-2</v>
      </c>
      <c r="Q8" s="2">
        <f>(M8/N8)^-1</f>
        <v>1.1538461538461537</v>
      </c>
    </row>
    <row r="9" spans="1:17" x14ac:dyDescent="0.2">
      <c r="B9" s="4" t="s">
        <v>32</v>
      </c>
      <c r="C9">
        <v>5</v>
      </c>
      <c r="D9">
        <v>14</v>
      </c>
      <c r="E9">
        <v>15</v>
      </c>
      <c r="F9" s="9">
        <v>5</v>
      </c>
      <c r="G9">
        <v>5</v>
      </c>
      <c r="H9">
        <v>14</v>
      </c>
      <c r="I9">
        <v>15</v>
      </c>
      <c r="J9">
        <f t="shared" si="0"/>
        <v>43.982297150257104</v>
      </c>
      <c r="K9">
        <f t="shared" si="1"/>
        <v>49</v>
      </c>
      <c r="L9">
        <f t="shared" si="2"/>
        <v>39</v>
      </c>
      <c r="M9">
        <f t="shared" si="3"/>
        <v>39</v>
      </c>
      <c r="N9">
        <f t="shared" si="4"/>
        <v>49</v>
      </c>
      <c r="O9">
        <f t="shared" si="5"/>
        <v>1.9109999999999999E-3</v>
      </c>
      <c r="P9" s="11">
        <f t="shared" si="6"/>
        <v>0.13953488372093026</v>
      </c>
      <c r="Q9" s="2">
        <f t="shared" si="7"/>
        <v>1.2564102564102564</v>
      </c>
    </row>
    <row r="10" spans="1:17" x14ac:dyDescent="0.2">
      <c r="B10" s="4" t="s">
        <v>32</v>
      </c>
      <c r="C10">
        <v>5</v>
      </c>
      <c r="D10">
        <v>14</v>
      </c>
      <c r="E10">
        <v>15</v>
      </c>
      <c r="F10" s="9">
        <v>1</v>
      </c>
      <c r="G10">
        <v>5</v>
      </c>
      <c r="H10">
        <v>14</v>
      </c>
      <c r="I10">
        <v>15</v>
      </c>
      <c r="J10">
        <f t="shared" si="0"/>
        <v>43.982297150257104</v>
      </c>
      <c r="K10">
        <f t="shared" si="1"/>
        <v>41</v>
      </c>
      <c r="L10">
        <f t="shared" si="2"/>
        <v>39</v>
      </c>
      <c r="M10">
        <f t="shared" si="3"/>
        <v>39</v>
      </c>
      <c r="N10">
        <f t="shared" si="4"/>
        <v>41</v>
      </c>
      <c r="O10">
        <f t="shared" si="5"/>
        <v>1.5989999999999999E-3</v>
      </c>
      <c r="P10" s="11">
        <f t="shared" si="6"/>
        <v>-4.6511627906976716E-2</v>
      </c>
      <c r="Q10" s="2">
        <f t="shared" si="7"/>
        <v>1.0512820512820513</v>
      </c>
    </row>
    <row r="11" spans="1:17" x14ac:dyDescent="0.2">
      <c r="B11" s="4" t="s">
        <v>32</v>
      </c>
      <c r="C11" s="9">
        <v>3</v>
      </c>
      <c r="D11">
        <v>14</v>
      </c>
      <c r="E11">
        <v>15</v>
      </c>
      <c r="F11">
        <v>2</v>
      </c>
      <c r="G11">
        <v>5</v>
      </c>
      <c r="H11">
        <v>14</v>
      </c>
      <c r="I11">
        <v>15</v>
      </c>
      <c r="J11">
        <f t="shared" si="0"/>
        <v>43.982297150257104</v>
      </c>
      <c r="K11">
        <f t="shared" si="1"/>
        <v>39</v>
      </c>
      <c r="L11">
        <f t="shared" si="2"/>
        <v>39</v>
      </c>
      <c r="M11">
        <f t="shared" si="3"/>
        <v>39</v>
      </c>
      <c r="N11">
        <f t="shared" si="4"/>
        <v>39</v>
      </c>
      <c r="O11">
        <f t="shared" si="5"/>
        <v>1.521E-3</v>
      </c>
      <c r="P11" s="11">
        <f t="shared" si="6"/>
        <v>-9.3023255813953432E-2</v>
      </c>
      <c r="Q11" s="2">
        <f t="shared" si="7"/>
        <v>1</v>
      </c>
    </row>
    <row r="12" spans="1:17" x14ac:dyDescent="0.2">
      <c r="B12" s="4" t="s">
        <v>32</v>
      </c>
      <c r="C12" s="9">
        <v>7</v>
      </c>
      <c r="D12">
        <v>14</v>
      </c>
      <c r="E12">
        <v>15</v>
      </c>
      <c r="F12">
        <v>2</v>
      </c>
      <c r="G12">
        <v>5</v>
      </c>
      <c r="H12">
        <v>14</v>
      </c>
      <c r="I12">
        <v>15</v>
      </c>
      <c r="J12">
        <f t="shared" si="0"/>
        <v>43.982297150257104</v>
      </c>
      <c r="K12">
        <f t="shared" si="1"/>
        <v>47</v>
      </c>
      <c r="L12">
        <f t="shared" si="2"/>
        <v>39</v>
      </c>
      <c r="M12">
        <f t="shared" si="3"/>
        <v>39</v>
      </c>
      <c r="N12">
        <f t="shared" si="4"/>
        <v>47</v>
      </c>
      <c r="O12">
        <f t="shared" si="5"/>
        <v>1.833E-3</v>
      </c>
      <c r="P12" s="11">
        <f t="shared" si="6"/>
        <v>9.3023255813953556E-2</v>
      </c>
      <c r="Q12" s="2">
        <f t="shared" si="7"/>
        <v>1.2051282051282051</v>
      </c>
    </row>
    <row r="13" spans="1:17" x14ac:dyDescent="0.2">
      <c r="B13" s="4" t="s">
        <v>32</v>
      </c>
      <c r="C13" s="9">
        <v>1.5</v>
      </c>
      <c r="D13">
        <v>14</v>
      </c>
      <c r="E13">
        <v>15</v>
      </c>
      <c r="F13">
        <v>2</v>
      </c>
      <c r="G13">
        <v>5</v>
      </c>
      <c r="H13">
        <v>14</v>
      </c>
      <c r="I13">
        <v>15</v>
      </c>
      <c r="J13">
        <f t="shared" si="0"/>
        <v>43.982297150257104</v>
      </c>
      <c r="K13">
        <f t="shared" si="1"/>
        <v>36</v>
      </c>
      <c r="L13">
        <f t="shared" si="2"/>
        <v>39</v>
      </c>
      <c r="M13">
        <f t="shared" si="3"/>
        <v>39</v>
      </c>
      <c r="N13">
        <f t="shared" si="4"/>
        <v>36</v>
      </c>
      <c r="O13">
        <f t="shared" si="5"/>
        <v>1.4039999999999999E-3</v>
      </c>
      <c r="P13" s="11">
        <f t="shared" si="6"/>
        <v>-0.16279069767441862</v>
      </c>
      <c r="Q13" s="2">
        <f t="shared" si="7"/>
        <v>0.92307692307692313</v>
      </c>
    </row>
    <row r="16" spans="1:17" x14ac:dyDescent="0.2">
      <c r="A16" t="s">
        <v>112</v>
      </c>
    </row>
    <row r="17" spans="1:1" x14ac:dyDescent="0.2">
      <c r="A17" t="s">
        <v>113</v>
      </c>
    </row>
    <row r="18" spans="1:1" x14ac:dyDescent="0.2">
      <c r="A18" t="s">
        <v>114</v>
      </c>
    </row>
    <row r="19" spans="1:1" x14ac:dyDescent="0.2">
      <c r="A19" t="s">
        <v>115</v>
      </c>
    </row>
    <row r="20" spans="1:1" x14ac:dyDescent="0.2">
      <c r="A20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Geometricals</vt:lpstr>
      <vt:lpstr>Electricals</vt:lpstr>
      <vt:lpstr>Array Construct</vt:lpstr>
      <vt:lpstr>BL metrics</vt:lpstr>
      <vt:lpstr>WL metrics</vt:lpstr>
      <vt:lpstr>COB</vt:lpstr>
      <vt:lpstr>FinFET</vt:lpstr>
      <vt:lpstr>CylGate - ChanWrap</vt:lpstr>
      <vt:lpstr>CylADM - GateWrap</vt:lpstr>
    </vt:vector>
  </TitlesOfParts>
  <Company>Intel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Sharma, Abhishek A</dc:creator>
  <cp:keywords>CTPClassification=CTP_NT</cp:keywords>
  <cp:lastModifiedBy>Microsoft Office User</cp:lastModifiedBy>
  <dcterms:created xsi:type="dcterms:W3CDTF">2019-09-04T16:08:34Z</dcterms:created>
  <dcterms:modified xsi:type="dcterms:W3CDTF">2019-10-02T16:07:31Z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7ca5ce5e-2cfb-4cc6-b9e1-72b976d76961</vt:lpwstr>
  </property>
  <property fmtid="{D5CDD505-2E9C-101B-9397-08002B2CF9AE}" pid="3" name="CTP_TimeStamp">
    <vt:lpwstr>2019-09-25 14:31:42Z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