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09"/>
  <workbookPr/>
  <mc:AlternateContent xmlns:mc="http://schemas.openxmlformats.org/markup-compatibility/2006">
    <mc:Choice Requires="x15">
      <x15ac:absPath xmlns:x15ac="http://schemas.microsoft.com/office/spreadsheetml/2010/11/ac" url="/Users/dkau/Documents/dck02/Tech &amp; Design/dram, edram, NAND/"/>
    </mc:Choice>
  </mc:AlternateContent>
  <xr:revisionPtr revIDLastSave="0" documentId="8_{F1094E5D-7D9E-0D44-80FC-1AE8C5A6B9FD}" xr6:coauthVersionLast="43" xr6:coauthVersionMax="43" xr10:uidLastSave="{00000000-0000-0000-0000-000000000000}"/>
  <bookViews>
    <workbookView xWindow="31500" yWindow="-7580" windowWidth="25180" windowHeight="19200" activeTab="5" xr2:uid="{00000000-000D-0000-FFFF-FFFF00000000}"/>
  </bookViews>
  <sheets>
    <sheet name="Geometricals" sheetId="1" r:id="rId1"/>
    <sheet name="FinFET" sheetId="3" r:id="rId2"/>
    <sheet name="Vertical1 - ChanWrap" sheetId="4" r:id="rId3"/>
    <sheet name="Vertical2 - GateWrap" sheetId="5" r:id="rId4"/>
    <sheet name="Electricals" sheetId="2" r:id="rId5"/>
    <sheet name="Sheet1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0" i="2" l="1"/>
  <c r="F7" i="2"/>
  <c r="M7" i="2" s="1"/>
  <c r="Q4" i="4"/>
  <c r="I5" i="3"/>
  <c r="J5" i="3" s="1"/>
  <c r="H5" i="3"/>
  <c r="K5" i="3" s="1"/>
  <c r="P7" i="4"/>
  <c r="J3" i="5"/>
  <c r="J4" i="5"/>
  <c r="J5" i="5"/>
  <c r="J6" i="5"/>
  <c r="J7" i="5"/>
  <c r="J8" i="5"/>
  <c r="J9" i="5"/>
  <c r="J10" i="5"/>
  <c r="J11" i="5"/>
  <c r="J12" i="5"/>
  <c r="J13" i="5"/>
  <c r="J2" i="5"/>
  <c r="H3" i="5"/>
  <c r="L3" i="5" s="1"/>
  <c r="M3" i="5" s="1"/>
  <c r="Q3" i="5" s="1"/>
  <c r="H4" i="5"/>
  <c r="L4" i="5" s="1"/>
  <c r="M4" i="5" s="1"/>
  <c r="Q4" i="5" s="1"/>
  <c r="H2" i="5"/>
  <c r="L2" i="5" s="1"/>
  <c r="M2" i="5" s="1"/>
  <c r="Q2" i="5" s="1"/>
  <c r="L13" i="5"/>
  <c r="M13" i="5" s="1"/>
  <c r="Q13" i="5" s="1"/>
  <c r="K13" i="5"/>
  <c r="N13" i="5" s="1"/>
  <c r="O13" i="5" s="1"/>
  <c r="L12" i="5"/>
  <c r="M12" i="5" s="1"/>
  <c r="Q12" i="5" s="1"/>
  <c r="K12" i="5"/>
  <c r="N12" i="5" s="1"/>
  <c r="O12" i="5" s="1"/>
  <c r="L11" i="5"/>
  <c r="M11" i="5" s="1"/>
  <c r="Q11" i="5" s="1"/>
  <c r="K11" i="5"/>
  <c r="N11" i="5" s="1"/>
  <c r="L10" i="5"/>
  <c r="M10" i="5" s="1"/>
  <c r="Q10" i="5" s="1"/>
  <c r="K10" i="5"/>
  <c r="N10" i="5" s="1"/>
  <c r="L9" i="5"/>
  <c r="M9" i="5" s="1"/>
  <c r="Q9" i="5" s="1"/>
  <c r="K9" i="5"/>
  <c r="N9" i="5" s="1"/>
  <c r="O9" i="5" s="1"/>
  <c r="L8" i="5"/>
  <c r="M8" i="5" s="1"/>
  <c r="Q8" i="5" s="1"/>
  <c r="K8" i="5"/>
  <c r="N8" i="5" s="1"/>
  <c r="L7" i="5"/>
  <c r="M7" i="5" s="1"/>
  <c r="Q7" i="5" s="1"/>
  <c r="K7" i="5"/>
  <c r="N7" i="5" s="1"/>
  <c r="L6" i="5"/>
  <c r="M6" i="5" s="1"/>
  <c r="Q6" i="5" s="1"/>
  <c r="K6" i="5"/>
  <c r="N6" i="5" s="1"/>
  <c r="O6" i="5" s="1"/>
  <c r="N5" i="5"/>
  <c r="L5" i="5"/>
  <c r="M5" i="5" s="1"/>
  <c r="Q5" i="5" s="1"/>
  <c r="K5" i="5"/>
  <c r="K4" i="5"/>
  <c r="N4" i="5" s="1"/>
  <c r="K3" i="5"/>
  <c r="N3" i="5" s="1"/>
  <c r="K2" i="5"/>
  <c r="N2" i="5" s="1"/>
  <c r="C3" i="4"/>
  <c r="K3" i="4" s="1"/>
  <c r="N3" i="4" s="1"/>
  <c r="C4" i="4"/>
  <c r="K4" i="4" s="1"/>
  <c r="N4" i="4" s="1"/>
  <c r="O4" i="4" s="1"/>
  <c r="P4" i="4" s="1"/>
  <c r="C5" i="4"/>
  <c r="K5" i="4" s="1"/>
  <c r="N5" i="4" s="1"/>
  <c r="C6" i="4"/>
  <c r="C7" i="4"/>
  <c r="C2" i="4"/>
  <c r="I3" i="4"/>
  <c r="I4" i="4"/>
  <c r="I5" i="4"/>
  <c r="I6" i="4"/>
  <c r="I7" i="4"/>
  <c r="I2" i="4"/>
  <c r="L7" i="4"/>
  <c r="M7" i="4" s="1"/>
  <c r="Q7" i="4" s="1"/>
  <c r="K7" i="4"/>
  <c r="N7" i="4" s="1"/>
  <c r="O7" i="4" s="1"/>
  <c r="L6" i="4"/>
  <c r="M6" i="4" s="1"/>
  <c r="K6" i="4"/>
  <c r="N6" i="4" s="1"/>
  <c r="O6" i="4" s="1"/>
  <c r="P6" i="4" s="1"/>
  <c r="L5" i="4"/>
  <c r="M5" i="4" s="1"/>
  <c r="L4" i="4"/>
  <c r="M4" i="4" s="1"/>
  <c r="L3" i="4"/>
  <c r="M3" i="4" s="1"/>
  <c r="Q3" i="4" s="1"/>
  <c r="L2" i="4"/>
  <c r="M2" i="4" s="1"/>
  <c r="Q2" i="4" s="1"/>
  <c r="K2" i="4"/>
  <c r="N2" i="4" s="1"/>
  <c r="O2" i="4" s="1"/>
  <c r="P2" i="4" s="1"/>
  <c r="G10" i="2"/>
  <c r="G7" i="2"/>
  <c r="I13" i="3"/>
  <c r="J13" i="3" s="1"/>
  <c r="H13" i="3"/>
  <c r="K13" i="3" s="1"/>
  <c r="I12" i="3"/>
  <c r="J12" i="3" s="1"/>
  <c r="H12" i="3"/>
  <c r="K12" i="3" s="1"/>
  <c r="I11" i="3"/>
  <c r="J11" i="3" s="1"/>
  <c r="H11" i="3"/>
  <c r="K11" i="3" s="1"/>
  <c r="N11" i="3" s="1"/>
  <c r="I10" i="3"/>
  <c r="J10" i="3" s="1"/>
  <c r="H10" i="3"/>
  <c r="K10" i="3" s="1"/>
  <c r="I2" i="3"/>
  <c r="J2" i="3" s="1"/>
  <c r="H2" i="3"/>
  <c r="K2" i="3" s="1"/>
  <c r="I9" i="3"/>
  <c r="J9" i="3" s="1"/>
  <c r="H9" i="3"/>
  <c r="K9" i="3" s="1"/>
  <c r="N9" i="3" s="1"/>
  <c r="I8" i="3"/>
  <c r="J8" i="3" s="1"/>
  <c r="H8" i="3"/>
  <c r="K8" i="3" s="1"/>
  <c r="I7" i="3"/>
  <c r="J7" i="3" s="1"/>
  <c r="H7" i="3"/>
  <c r="K7" i="3" s="1"/>
  <c r="I6" i="3"/>
  <c r="J6" i="3" s="1"/>
  <c r="H6" i="3"/>
  <c r="K6" i="3" s="1"/>
  <c r="I4" i="3"/>
  <c r="J4" i="3" s="1"/>
  <c r="H4" i="3"/>
  <c r="K4" i="3" s="1"/>
  <c r="N4" i="3" s="1"/>
  <c r="I3" i="3"/>
  <c r="J3" i="3" s="1"/>
  <c r="H3" i="3"/>
  <c r="K3" i="3" s="1"/>
  <c r="Q5" i="4" l="1"/>
  <c r="Q6" i="4"/>
  <c r="O10" i="5"/>
  <c r="N3" i="3"/>
  <c r="O3" i="4"/>
  <c r="P3" i="4" s="1"/>
  <c r="O8" i="5"/>
  <c r="L2" i="3"/>
  <c r="M2" i="3" s="1"/>
  <c r="N13" i="3"/>
  <c r="O11" i="5"/>
  <c r="N10" i="3"/>
  <c r="N7" i="3"/>
  <c r="N8" i="3"/>
  <c r="N12" i="3"/>
  <c r="N2" i="3"/>
  <c r="N6" i="3"/>
  <c r="N5" i="3"/>
  <c r="L5" i="3"/>
  <c r="O4" i="5"/>
  <c r="O3" i="5"/>
  <c r="O2" i="5"/>
  <c r="P2" i="5" s="1"/>
  <c r="P11" i="5"/>
  <c r="P9" i="5"/>
  <c r="O7" i="5"/>
  <c r="O5" i="5"/>
  <c r="O5" i="4"/>
  <c r="P5" i="4" s="1"/>
  <c r="L10" i="3"/>
  <c r="L3" i="3"/>
  <c r="L12" i="3"/>
  <c r="L13" i="3"/>
  <c r="L11" i="3"/>
  <c r="M11" i="3" s="1"/>
  <c r="L4" i="3"/>
  <c r="M4" i="3" s="1"/>
  <c r="L9" i="3"/>
  <c r="M9" i="3" s="1"/>
  <c r="L8" i="3"/>
  <c r="L7" i="3"/>
  <c r="L6" i="3"/>
  <c r="M13" i="3" l="1"/>
  <c r="M6" i="3"/>
  <c r="M10" i="3"/>
  <c r="M12" i="3"/>
  <c r="M3" i="3"/>
  <c r="M7" i="3"/>
  <c r="M8" i="3"/>
  <c r="M5" i="3"/>
  <c r="P5" i="5"/>
  <c r="P3" i="5"/>
  <c r="P8" i="5"/>
  <c r="P4" i="5"/>
  <c r="P7" i="5"/>
  <c r="P13" i="5"/>
  <c r="P12" i="5"/>
  <c r="P10" i="5"/>
  <c r="P6" i="5"/>
  <c r="I10" i="2"/>
  <c r="F10" i="2"/>
  <c r="P10" i="2" s="1"/>
  <c r="I7" i="2"/>
  <c r="C4" i="2"/>
  <c r="E4" i="2" s="1"/>
  <c r="I4" i="2"/>
  <c r="F4" i="2"/>
  <c r="N10" i="1"/>
  <c r="K7" i="1"/>
  <c r="L10" i="1"/>
  <c r="M10" i="1" s="1"/>
  <c r="K10" i="1"/>
  <c r="L7" i="1"/>
  <c r="M7" i="1" s="1"/>
  <c r="N7" i="1"/>
  <c r="O7" i="1" s="1"/>
  <c r="L4" i="1"/>
  <c r="M4" i="1" s="1"/>
  <c r="K4" i="1"/>
  <c r="N4" i="1" s="1"/>
  <c r="O10" i="1" l="1"/>
  <c r="O4" i="1"/>
  <c r="P4" i="2"/>
  <c r="G4" i="2"/>
  <c r="P7" i="2"/>
  <c r="K10" i="2"/>
  <c r="N10" i="2" s="1"/>
  <c r="M4" i="2"/>
  <c r="K7" i="2"/>
  <c r="N7" i="2" s="1"/>
  <c r="K4" i="2"/>
  <c r="N4" i="2" l="1"/>
</calcChain>
</file>

<file path=xl/sharedStrings.xml><?xml version="1.0" encoding="utf-8"?>
<sst xmlns="http://schemas.openxmlformats.org/spreadsheetml/2006/main" count="234" uniqueCount="143">
  <si>
    <t>Type</t>
  </si>
  <si>
    <t>WL_param1</t>
  </si>
  <si>
    <t>WL_param2</t>
  </si>
  <si>
    <t>WL_param3</t>
  </si>
  <si>
    <t>WL_param4</t>
  </si>
  <si>
    <t>BL_param1</t>
  </si>
  <si>
    <t>BL_param2</t>
  </si>
  <si>
    <t>BL_param3</t>
  </si>
  <si>
    <t>BL_param4</t>
  </si>
  <si>
    <t>active_pitch_WL</t>
  </si>
  <si>
    <t>active_pitch_BL</t>
  </si>
  <si>
    <t>WL_pitch</t>
  </si>
  <si>
    <t>BL_pitch</t>
  </si>
  <si>
    <t>Cell_Area</t>
  </si>
  <si>
    <t>Z2W</t>
  </si>
  <si>
    <t>t_mSD</t>
  </si>
  <si>
    <t>Sz</t>
  </si>
  <si>
    <t>LSD</t>
  </si>
  <si>
    <t>L1</t>
  </si>
  <si>
    <t>S1</t>
  </si>
  <si>
    <t>Comment</t>
  </si>
  <si>
    <t>thickness of metal S/D wraparound</t>
  </si>
  <si>
    <t>Space in Z</t>
  </si>
  <si>
    <t>Contact length</t>
  </si>
  <si>
    <t>Lg drawn -&gt; fits 2*t_hik + t_MG i.e. &gt;=20nm</t>
  </si>
  <si>
    <t>Space in Lg</t>
  </si>
  <si>
    <t>Z2W + 2*t_mSD + Sz</t>
  </si>
  <si>
    <t>3*LSD + 2*L1 + S1</t>
  </si>
  <si>
    <t>2 actives in this direction</t>
  </si>
  <si>
    <t>active_BL /2</t>
  </si>
  <si>
    <t>active_WL</t>
  </si>
  <si>
    <t>WL_pitch*BL_pitch</t>
  </si>
  <si>
    <t>Values</t>
  </si>
  <si>
    <t>Param</t>
  </si>
  <si>
    <t>Equation</t>
  </si>
  <si>
    <t>FinFET</t>
  </si>
  <si>
    <t>Channel WA</t>
  </si>
  <si>
    <t>Dcon</t>
  </si>
  <si>
    <t>SWL</t>
  </si>
  <si>
    <t>mWL</t>
  </si>
  <si>
    <t>SBL</t>
  </si>
  <si>
    <t>fits 2*t_ADM + 2*t_hik + t_MG i.e. &gt;=24</t>
  </si>
  <si>
    <t>Dcon + SBL</t>
  </si>
  <si>
    <t>active_BL</t>
  </si>
  <si>
    <t>margin for ADM via</t>
  </si>
  <si>
    <t>space between cells in BL direction</t>
  </si>
  <si>
    <t>space between cells in WL direction</t>
  </si>
  <si>
    <t>t_hik</t>
  </si>
  <si>
    <t>2*t_hik + Dcon + SWL + 2*mWL</t>
  </si>
  <si>
    <t>2*t_hik + Dcon + SBL</t>
  </si>
  <si>
    <t>space between Adm in WL direction</t>
  </si>
  <si>
    <t>margin for ADM to WL edge</t>
  </si>
  <si>
    <t>hik thickness &gt;5nm for leakage</t>
  </si>
  <si>
    <t>fits ADM &gt;=4nm physical; &lt;=14nm for Ioff; Z also constrained</t>
  </si>
  <si>
    <t>Dcon + SWL + mWL*2</t>
  </si>
  <si>
    <t>Gate WA</t>
  </si>
  <si>
    <t>Le,min</t>
  </si>
  <si>
    <t>if fin, it will be ~35nm Lg for t_fin = 14nm; 20nm for t_fin = 9nm @Nd = 5e18 /X22MA</t>
  </si>
  <si>
    <t>Z</t>
  </si>
  <si>
    <t>L2</t>
  </si>
  <si>
    <t>Lg extension/RCAT if needed</t>
  </si>
  <si>
    <t>Le,min + L2</t>
  </si>
  <si>
    <t>u</t>
  </si>
  <si>
    <t>Cox</t>
  </si>
  <si>
    <t>Vp-Vt</t>
  </si>
  <si>
    <t>2*Z1H + Z1W (Z1H is height of RCAT fin) = 2*Z2H - 4*L2 + Z2W</t>
  </si>
  <si>
    <t>(u*Cox*Von)^-1 * [(2*Z2H + Z1H -4*L2)/L1 + (2*Z2H + Z1H -2*L2)/L2</t>
  </si>
  <si>
    <t>transistor in linear regime</t>
  </si>
  <si>
    <t>Ioff</t>
  </si>
  <si>
    <t>Cov</t>
  </si>
  <si>
    <t>rho_con (ohm-cm2)</t>
  </si>
  <si>
    <t>Rcon (ohms)</t>
  </si>
  <si>
    <t>Rch (ohms)</t>
  </si>
  <si>
    <t>Von (V)</t>
  </si>
  <si>
    <t>Cgg or Cox (F/cm2)</t>
  </si>
  <si>
    <t>mobility (cm2/Vs)</t>
  </si>
  <si>
    <t>Le,tot (nm)</t>
  </si>
  <si>
    <t>L2 (nm)</t>
  </si>
  <si>
    <t>Le,min (nm)</t>
  </si>
  <si>
    <t>specific con resistivity</t>
  </si>
  <si>
    <t>rho_con/(Z*LSD)</t>
  </si>
  <si>
    <t>Vds/(Rch+2*Rcon)</t>
  </si>
  <si>
    <t>C0*Z*ov</t>
  </si>
  <si>
    <t>pi*Dcon</t>
  </si>
  <si>
    <t>pi*Dcon-2*t_ADM</t>
  </si>
  <si>
    <t>Lg = 15nm for t_ADM =2nm; or same as above</t>
  </si>
  <si>
    <t>Lcon/Ov</t>
  </si>
  <si>
    <t>Ov</t>
  </si>
  <si>
    <t>spacer overlap og G--&gt;SD</t>
  </si>
  <si>
    <t>BL height</t>
  </si>
  <si>
    <t>Lcon</t>
  </si>
  <si>
    <t>ov</t>
  </si>
  <si>
    <t>units in nm except area in um2</t>
  </si>
  <si>
    <t>(u*Cox*Von)^-1 * (Z/L)</t>
  </si>
  <si>
    <t>What geometric parameter enables scaling - plot one param at a time</t>
  </si>
  <si>
    <t>each param can also define Lg and Z</t>
  </si>
  <si>
    <t>Aspect Ratio</t>
  </si>
  <si>
    <t>S/D contact or fin Z - linear change in current</t>
  </si>
  <si>
    <t>Z2W (top-down Z)</t>
  </si>
  <si>
    <t>Metal wrap-around</t>
  </si>
  <si>
    <t>iso-space Z</t>
  </si>
  <si>
    <t>Lg</t>
  </si>
  <si>
    <t>iso-space Lg</t>
  </si>
  <si>
    <t>Area</t>
  </si>
  <si>
    <t>Lg cell pitch</t>
  </si>
  <si>
    <t>Z cell pitch</t>
  </si>
  <si>
    <t>In FinFET</t>
  </si>
  <si>
    <t>If electricals are in place, the Le is limited by ability to fit hi-k and metal gate</t>
  </si>
  <si>
    <t>The Z is controlled by the height</t>
  </si>
  <si>
    <t>Top down ZPV / Z2W affects aspect ratio of etch and spacing</t>
  </si>
  <si>
    <t>Area (um2)</t>
  </si>
  <si>
    <t>change in area</t>
  </si>
  <si>
    <t>In Vertical 2</t>
  </si>
  <si>
    <t>Dcon or top down contact/ADM size is limited by ability to etch and fill</t>
  </si>
  <si>
    <t>Dcon is the most important factor</t>
  </si>
  <si>
    <t>Space between Dcon i.e. SWL is determined by being able to fit high-k and metal gate</t>
  </si>
  <si>
    <t>In Vertical 1</t>
  </si>
  <si>
    <t>Dcon consists of t_MG, t_hik and t_ADM --&gt; limits are applied by aspect ratio filling of these materials</t>
  </si>
  <si>
    <t>AR</t>
  </si>
  <si>
    <t>Z (nm) tar &gt;60</t>
  </si>
  <si>
    <t>Ion (A) &gt;5e-6</t>
  </si>
  <si>
    <t>Need to improve contact resistance by using rsd - see Electricals tab</t>
  </si>
  <si>
    <t>P1222.6</t>
  </si>
  <si>
    <t>Samsun 1Z</t>
  </si>
  <si>
    <t>FIN</t>
  </si>
  <si>
    <t>COB</t>
  </si>
  <si>
    <t>CUB</t>
  </si>
  <si>
    <t>Cell Size</t>
  </si>
  <si>
    <t>BL Length</t>
  </si>
  <si>
    <t>WL Length</t>
  </si>
  <si>
    <t>Cylindric Gate</t>
  </si>
  <si>
    <t>Wire ADM</t>
  </si>
  <si>
    <t>WL Cap</t>
  </si>
  <si>
    <t>BL Cap</t>
  </si>
  <si>
    <t>AT Resistance</t>
  </si>
  <si>
    <t>Storage Node Cap</t>
  </si>
  <si>
    <t>Contact Area</t>
  </si>
  <si>
    <t>Contact Resistance</t>
  </si>
  <si>
    <t>µ</t>
  </si>
  <si>
    <t>Cylindric ADM</t>
  </si>
  <si>
    <t>?</t>
  </si>
  <si>
    <t>2F</t>
  </si>
  <si>
    <t>Seal/Fill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</si>
</sst>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wrapText="1"/>
    </xf>
    <xf numFmtId="11" fontId="0" fillId="0" borderId="0" xfId="0" applyNumberFormat="1"/>
    <xf numFmtId="11" fontId="0" fillId="0" borderId="0" xfId="0" applyNumberFormat="1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2" fontId="0" fillId="0" borderId="0" xfId="0" applyNumberFormat="1"/>
    <xf numFmtId="2" fontId="0" fillId="0" borderId="0" xfId="0" applyNumberFormat="1" applyAlignment="1">
      <alignment wrapText="1"/>
    </xf>
    <xf numFmtId="164" fontId="0" fillId="0" borderId="0" xfId="0" applyNumberFormat="1"/>
    <xf numFmtId="0" fontId="0" fillId="2" borderId="0" xfId="0" applyFill="1"/>
    <xf numFmtId="0" fontId="0" fillId="0" borderId="0" xfId="0" applyFill="1"/>
    <xf numFmtId="9" fontId="0" fillId="0" borderId="0" xfId="1" applyFont="1"/>
    <xf numFmtId="11" fontId="1" fillId="0" borderId="0" xfId="0" applyNumberFormat="1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175260</xdr:rowOff>
    </xdr:from>
    <xdr:to>
      <xdr:col>6</xdr:col>
      <xdr:colOff>198124</xdr:colOff>
      <xdr:row>24</xdr:row>
      <xdr:rowOff>8099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198620"/>
          <a:ext cx="4579624" cy="2576039"/>
        </a:xfrm>
        <a:prstGeom prst="rect">
          <a:avLst/>
        </a:prstGeom>
      </xdr:spPr>
    </xdr:pic>
    <xdr:clientData/>
  </xdr:twoCellAnchor>
  <xdr:twoCellAnchor editAs="oneCell">
    <xdr:from>
      <xdr:col>6</xdr:col>
      <xdr:colOff>99059</xdr:colOff>
      <xdr:row>9</xdr:row>
      <xdr:rowOff>171453</xdr:rowOff>
    </xdr:from>
    <xdr:to>
      <xdr:col>11</xdr:col>
      <xdr:colOff>76198</xdr:colOff>
      <xdr:row>24</xdr:row>
      <xdr:rowOff>38579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80559" y="4194813"/>
          <a:ext cx="4640579" cy="2610326"/>
        </a:xfrm>
        <a:prstGeom prst="rect">
          <a:avLst/>
        </a:prstGeom>
      </xdr:spPr>
    </xdr:pic>
    <xdr:clientData/>
  </xdr:twoCellAnchor>
  <xdr:twoCellAnchor editAs="oneCell">
    <xdr:from>
      <xdr:col>11</xdr:col>
      <xdr:colOff>68579</xdr:colOff>
      <xdr:row>9</xdr:row>
      <xdr:rowOff>161925</xdr:rowOff>
    </xdr:from>
    <xdr:to>
      <xdr:col>15</xdr:col>
      <xdr:colOff>229450</xdr:colOff>
      <xdr:row>24</xdr:row>
      <xdr:rowOff>76679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13519" y="4185285"/>
          <a:ext cx="4725251" cy="26579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10</xdr:row>
      <xdr:rowOff>59055</xdr:rowOff>
    </xdr:from>
    <xdr:to>
      <xdr:col>5</xdr:col>
      <xdr:colOff>769624</xdr:colOff>
      <xdr:row>24</xdr:row>
      <xdr:rowOff>74774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" y="3899535"/>
          <a:ext cx="4579624" cy="2576039"/>
        </a:xfrm>
        <a:prstGeom prst="rect">
          <a:avLst/>
        </a:prstGeom>
      </xdr:spPr>
    </xdr:pic>
    <xdr:clientData/>
  </xdr:twoCellAnchor>
  <xdr:twoCellAnchor editAs="oneCell">
    <xdr:from>
      <xdr:col>5</xdr:col>
      <xdr:colOff>670559</xdr:colOff>
      <xdr:row>10</xdr:row>
      <xdr:rowOff>55248</xdr:rowOff>
    </xdr:from>
    <xdr:to>
      <xdr:col>10</xdr:col>
      <xdr:colOff>1096692</xdr:colOff>
      <xdr:row>24</xdr:row>
      <xdr:rowOff>105254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41519" y="3895728"/>
          <a:ext cx="4640579" cy="2610326"/>
        </a:xfrm>
        <a:prstGeom prst="rect">
          <a:avLst/>
        </a:prstGeom>
      </xdr:spPr>
    </xdr:pic>
    <xdr:clientData/>
  </xdr:twoCellAnchor>
  <xdr:twoCellAnchor editAs="oneCell">
    <xdr:from>
      <xdr:col>10</xdr:col>
      <xdr:colOff>1950719</xdr:colOff>
      <xdr:row>10</xdr:row>
      <xdr:rowOff>45720</xdr:rowOff>
    </xdr:from>
    <xdr:to>
      <xdr:col>15</xdr:col>
      <xdr:colOff>267549</xdr:colOff>
      <xdr:row>24</xdr:row>
      <xdr:rowOff>143354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74479" y="3886200"/>
          <a:ext cx="4725251" cy="26579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8"/>
  <sheetViews>
    <sheetView zoomScaleNormal="100" workbookViewId="0">
      <selection activeCell="D11" sqref="D11"/>
    </sheetView>
  </sheetViews>
  <sheetFormatPr baseColWidth="10" defaultColWidth="8.83203125" defaultRowHeight="15" x14ac:dyDescent="0.2"/>
  <cols>
    <col min="1" max="1" width="10.83203125" style="4" bestFit="1" customWidth="1"/>
    <col min="2" max="2" width="9.5" style="4" customWidth="1"/>
    <col min="3" max="6" width="10.83203125" bestFit="1" customWidth="1"/>
    <col min="7" max="10" width="10.1640625" bestFit="1" customWidth="1"/>
    <col min="11" max="11" width="27.1640625" bestFit="1" customWidth="1"/>
    <col min="12" max="12" width="18.1640625" bestFit="1" customWidth="1"/>
    <col min="13" max="13" width="17.6640625" bestFit="1" customWidth="1"/>
    <col min="14" max="14" width="14" bestFit="1" customWidth="1"/>
    <col min="15" max="15" width="16.83203125" bestFit="1" customWidth="1"/>
  </cols>
  <sheetData>
    <row r="1" spans="1:16" s="4" customFormat="1" x14ac:dyDescent="0.2">
      <c r="A1" s="4" t="s">
        <v>0</v>
      </c>
      <c r="B1" s="4" t="s">
        <v>33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</row>
    <row r="2" spans="1:16" x14ac:dyDescent="0.2">
      <c r="A2" s="13" t="s">
        <v>35</v>
      </c>
      <c r="B2" s="4" t="s">
        <v>34</v>
      </c>
      <c r="C2" t="s">
        <v>14</v>
      </c>
      <c r="D2" t="s">
        <v>15</v>
      </c>
      <c r="E2" t="s">
        <v>16</v>
      </c>
      <c r="G2" t="s">
        <v>17</v>
      </c>
      <c r="H2" t="s">
        <v>18</v>
      </c>
      <c r="I2" t="s">
        <v>19</v>
      </c>
      <c r="K2" t="s">
        <v>26</v>
      </c>
      <c r="L2" t="s">
        <v>27</v>
      </c>
      <c r="M2" t="s">
        <v>29</v>
      </c>
      <c r="N2" t="s">
        <v>30</v>
      </c>
      <c r="O2" t="s">
        <v>31</v>
      </c>
    </row>
    <row r="3" spans="1:16" s="1" customFormat="1" ht="80" x14ac:dyDescent="0.2">
      <c r="A3" s="13"/>
      <c r="B3" s="5" t="s">
        <v>20</v>
      </c>
      <c r="C3" s="1" t="s">
        <v>97</v>
      </c>
      <c r="D3" s="1" t="s">
        <v>21</v>
      </c>
      <c r="E3" s="1" t="s">
        <v>22</v>
      </c>
      <c r="G3" s="1" t="s">
        <v>23</v>
      </c>
      <c r="H3" s="1" t="s">
        <v>24</v>
      </c>
      <c r="I3" s="1" t="s">
        <v>25</v>
      </c>
      <c r="L3" s="1" t="s">
        <v>28</v>
      </c>
      <c r="P3" s="5" t="s">
        <v>92</v>
      </c>
    </row>
    <row r="4" spans="1:16" x14ac:dyDescent="0.2">
      <c r="A4" s="13"/>
      <c r="B4" s="4" t="s">
        <v>32</v>
      </c>
      <c r="C4">
        <v>10</v>
      </c>
      <c r="D4">
        <v>3</v>
      </c>
      <c r="E4">
        <v>15</v>
      </c>
      <c r="G4">
        <v>20</v>
      </c>
      <c r="H4">
        <v>20</v>
      </c>
      <c r="I4">
        <v>15</v>
      </c>
      <c r="K4">
        <f>C4+2*D4+E4</f>
        <v>31</v>
      </c>
      <c r="L4">
        <f>(3*G4+2*H4+I4)</f>
        <v>115</v>
      </c>
      <c r="M4">
        <f>L4/2</f>
        <v>57.5</v>
      </c>
      <c r="N4">
        <f>K4</f>
        <v>31</v>
      </c>
      <c r="O4">
        <f>M4*N4*0.000001</f>
        <v>1.7825E-3</v>
      </c>
    </row>
    <row r="5" spans="1:16" x14ac:dyDescent="0.2">
      <c r="A5" s="13" t="s">
        <v>36</v>
      </c>
      <c r="B5" s="4" t="s">
        <v>34</v>
      </c>
      <c r="C5" t="s">
        <v>37</v>
      </c>
      <c r="D5" t="s">
        <v>38</v>
      </c>
      <c r="E5" t="s">
        <v>39</v>
      </c>
      <c r="G5" t="s">
        <v>37</v>
      </c>
      <c r="H5" t="s">
        <v>40</v>
      </c>
      <c r="K5" t="s">
        <v>54</v>
      </c>
      <c r="L5" t="s">
        <v>42</v>
      </c>
      <c r="M5" t="s">
        <v>43</v>
      </c>
      <c r="N5" t="s">
        <v>30</v>
      </c>
      <c r="O5" t="s">
        <v>31</v>
      </c>
    </row>
    <row r="6" spans="1:16" s="1" customFormat="1" ht="80" x14ac:dyDescent="0.2">
      <c r="A6" s="13"/>
      <c r="B6" s="5" t="s">
        <v>20</v>
      </c>
      <c r="C6" s="1" t="s">
        <v>41</v>
      </c>
      <c r="D6" s="1" t="s">
        <v>46</v>
      </c>
      <c r="E6" s="1" t="s">
        <v>44</v>
      </c>
      <c r="G6" s="1" t="s">
        <v>41</v>
      </c>
      <c r="H6" s="1" t="s">
        <v>45</v>
      </c>
    </row>
    <row r="7" spans="1:16" x14ac:dyDescent="0.2">
      <c r="A7" s="13"/>
      <c r="B7" s="4" t="s">
        <v>32</v>
      </c>
      <c r="C7">
        <v>24</v>
      </c>
      <c r="D7">
        <v>15</v>
      </c>
      <c r="E7">
        <v>2</v>
      </c>
      <c r="G7">
        <v>24</v>
      </c>
      <c r="H7">
        <v>15</v>
      </c>
      <c r="K7">
        <f>C7+D7+E7*2</f>
        <v>43</v>
      </c>
      <c r="L7">
        <f>G7+H7</f>
        <v>39</v>
      </c>
      <c r="M7">
        <f>L7</f>
        <v>39</v>
      </c>
      <c r="N7">
        <f>K7</f>
        <v>43</v>
      </c>
      <c r="O7">
        <f>N7*M7*0.000001</f>
        <v>1.6769999999999999E-3</v>
      </c>
    </row>
    <row r="8" spans="1:16" x14ac:dyDescent="0.2">
      <c r="A8" s="13" t="s">
        <v>55</v>
      </c>
      <c r="B8" s="4" t="s">
        <v>34</v>
      </c>
      <c r="C8" t="s">
        <v>47</v>
      </c>
      <c r="D8" t="s">
        <v>37</v>
      </c>
      <c r="E8" t="s">
        <v>38</v>
      </c>
      <c r="F8" t="s">
        <v>39</v>
      </c>
      <c r="G8" t="s">
        <v>47</v>
      </c>
      <c r="H8" t="s">
        <v>37</v>
      </c>
      <c r="I8" t="s">
        <v>40</v>
      </c>
      <c r="K8" t="s">
        <v>48</v>
      </c>
      <c r="L8" t="s">
        <v>49</v>
      </c>
      <c r="M8" t="s">
        <v>43</v>
      </c>
      <c r="N8" t="s">
        <v>30</v>
      </c>
    </row>
    <row r="9" spans="1:16" s="1" customFormat="1" ht="96" x14ac:dyDescent="0.2">
      <c r="A9" s="13"/>
      <c r="B9" s="5" t="s">
        <v>20</v>
      </c>
      <c r="C9" s="1" t="s">
        <v>52</v>
      </c>
      <c r="D9" s="1" t="s">
        <v>53</v>
      </c>
      <c r="E9" s="1" t="s">
        <v>50</v>
      </c>
      <c r="F9" s="1" t="s">
        <v>51</v>
      </c>
    </row>
    <row r="10" spans="1:16" x14ac:dyDescent="0.2">
      <c r="A10" s="13"/>
      <c r="B10" s="4" t="s">
        <v>32</v>
      </c>
      <c r="C10">
        <v>5</v>
      </c>
      <c r="D10">
        <v>20</v>
      </c>
      <c r="E10">
        <v>15</v>
      </c>
      <c r="F10">
        <v>2</v>
      </c>
      <c r="G10">
        <v>5</v>
      </c>
      <c r="H10">
        <v>14</v>
      </c>
      <c r="I10">
        <v>15</v>
      </c>
      <c r="K10">
        <f>2*C10+D10+E10+2*F10</f>
        <v>49</v>
      </c>
      <c r="L10">
        <f>G10*2+H10+I10</f>
        <v>39</v>
      </c>
      <c r="M10">
        <f>L10</f>
        <v>39</v>
      </c>
      <c r="N10">
        <f>K10</f>
        <v>49</v>
      </c>
      <c r="O10">
        <f>N10*M10*0.000001</f>
        <v>1.9109999999999999E-3</v>
      </c>
    </row>
    <row r="27" spans="4:4" x14ac:dyDescent="0.2">
      <c r="D27" t="s">
        <v>94</v>
      </c>
    </row>
    <row r="28" spans="4:4" x14ac:dyDescent="0.2">
      <c r="D28" t="s">
        <v>95</v>
      </c>
    </row>
  </sheetData>
  <mergeCells count="3">
    <mergeCell ref="A2:A4"/>
    <mergeCell ref="A5:A7"/>
    <mergeCell ref="A8:A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8"/>
  <sheetViews>
    <sheetView topLeftCell="A2" workbookViewId="0">
      <selection activeCell="C31" sqref="C31"/>
    </sheetView>
  </sheetViews>
  <sheetFormatPr baseColWidth="10" defaultColWidth="8.83203125" defaultRowHeight="15" x14ac:dyDescent="0.2"/>
  <cols>
    <col min="1" max="1" width="15.6640625" bestFit="1" customWidth="1"/>
    <col min="2" max="2" width="16.83203125" bestFit="1" customWidth="1"/>
    <col min="3" max="3" width="10.1640625" bestFit="1" customWidth="1"/>
    <col min="10" max="10" width="10.5" bestFit="1" customWidth="1"/>
    <col min="11" max="11" width="9.83203125" bestFit="1" customWidth="1"/>
    <col min="13" max="13" width="8.83203125" style="11"/>
    <col min="14" max="14" width="8.83203125" style="2"/>
  </cols>
  <sheetData>
    <row r="1" spans="1:14" s="4" customFormat="1" x14ac:dyDescent="0.2">
      <c r="A1" s="4" t="s">
        <v>98</v>
      </c>
      <c r="B1" s="4" t="s">
        <v>99</v>
      </c>
      <c r="C1" s="4" t="s">
        <v>100</v>
      </c>
      <c r="D1" s="4" t="s">
        <v>17</v>
      </c>
      <c r="E1" s="4" t="s">
        <v>101</v>
      </c>
      <c r="F1" s="4" t="s">
        <v>102</v>
      </c>
      <c r="J1" s="4" t="s">
        <v>104</v>
      </c>
      <c r="K1" s="4" t="s">
        <v>105</v>
      </c>
      <c r="L1" s="4" t="s">
        <v>103</v>
      </c>
      <c r="M1" s="11" t="s">
        <v>111</v>
      </c>
      <c r="N1" s="12" t="s">
        <v>118</v>
      </c>
    </row>
    <row r="2" spans="1:14" x14ac:dyDescent="0.2">
      <c r="A2" s="9">
        <v>25</v>
      </c>
      <c r="B2">
        <v>3</v>
      </c>
      <c r="C2">
        <v>15</v>
      </c>
      <c r="D2">
        <v>20</v>
      </c>
      <c r="E2">
        <v>20</v>
      </c>
      <c r="F2">
        <v>15</v>
      </c>
      <c r="H2">
        <f t="shared" ref="H2:H13" si="0">A2+2*B2+C2</f>
        <v>46</v>
      </c>
      <c r="I2">
        <f t="shared" ref="I2:I13" si="1">(3*D2+2*E2+F2)</f>
        <v>115</v>
      </c>
      <c r="J2">
        <f t="shared" ref="J2:J13" si="2">I2/2</f>
        <v>57.5</v>
      </c>
      <c r="K2">
        <f t="shared" ref="K2:K13" si="3">H2</f>
        <v>46</v>
      </c>
      <c r="L2">
        <f t="shared" ref="L2:L13" si="4">J2*K2*0.000001</f>
        <v>2.6449999999999998E-3</v>
      </c>
      <c r="M2" s="11">
        <f>(L2-$L$2)/$L$2</f>
        <v>0</v>
      </c>
      <c r="N2" s="2">
        <f>J2/K2</f>
        <v>1.25</v>
      </c>
    </row>
    <row r="3" spans="1:14" x14ac:dyDescent="0.2">
      <c r="A3" s="9">
        <v>20</v>
      </c>
      <c r="B3">
        <v>3</v>
      </c>
      <c r="C3">
        <v>15</v>
      </c>
      <c r="D3">
        <v>20</v>
      </c>
      <c r="E3">
        <v>20</v>
      </c>
      <c r="F3">
        <v>15</v>
      </c>
      <c r="H3">
        <f t="shared" si="0"/>
        <v>41</v>
      </c>
      <c r="I3">
        <f t="shared" si="1"/>
        <v>115</v>
      </c>
      <c r="J3">
        <f t="shared" si="2"/>
        <v>57.5</v>
      </c>
      <c r="K3">
        <f t="shared" si="3"/>
        <v>41</v>
      </c>
      <c r="L3">
        <f t="shared" si="4"/>
        <v>2.3574999999999998E-3</v>
      </c>
      <c r="M3" s="11">
        <f t="shared" ref="M3:M13" si="5">(L3-$L$2)/$L$2</f>
        <v>-0.10869565217391305</v>
      </c>
      <c r="N3" s="2">
        <f t="shared" ref="N3:N13" si="6">J3/K3</f>
        <v>1.4024390243902438</v>
      </c>
    </row>
    <row r="4" spans="1:14" x14ac:dyDescent="0.2">
      <c r="A4" s="9">
        <v>15</v>
      </c>
      <c r="B4">
        <v>3</v>
      </c>
      <c r="C4">
        <v>15</v>
      </c>
      <c r="D4">
        <v>20</v>
      </c>
      <c r="E4">
        <v>20</v>
      </c>
      <c r="F4">
        <v>15</v>
      </c>
      <c r="H4">
        <f t="shared" si="0"/>
        <v>36</v>
      </c>
      <c r="I4">
        <f t="shared" si="1"/>
        <v>115</v>
      </c>
      <c r="J4">
        <f t="shared" si="2"/>
        <v>57.5</v>
      </c>
      <c r="K4">
        <f t="shared" si="3"/>
        <v>36</v>
      </c>
      <c r="L4">
        <f t="shared" si="4"/>
        <v>2.0699999999999998E-3</v>
      </c>
      <c r="M4" s="11">
        <f t="shared" si="5"/>
        <v>-0.21739130434782611</v>
      </c>
      <c r="N4" s="2">
        <f t="shared" si="6"/>
        <v>1.5972222222222223</v>
      </c>
    </row>
    <row r="5" spans="1:14" x14ac:dyDescent="0.2">
      <c r="A5" s="9">
        <v>10</v>
      </c>
      <c r="B5">
        <v>3</v>
      </c>
      <c r="C5">
        <v>15</v>
      </c>
      <c r="D5">
        <v>20</v>
      </c>
      <c r="E5">
        <v>20</v>
      </c>
      <c r="F5">
        <v>15</v>
      </c>
      <c r="H5">
        <f t="shared" si="0"/>
        <v>31</v>
      </c>
      <c r="I5">
        <f t="shared" si="1"/>
        <v>115</v>
      </c>
      <c r="J5">
        <f t="shared" si="2"/>
        <v>57.5</v>
      </c>
      <c r="K5">
        <f t="shared" si="3"/>
        <v>31</v>
      </c>
      <c r="L5">
        <f t="shared" si="4"/>
        <v>1.7825E-3</v>
      </c>
      <c r="M5" s="11">
        <f t="shared" si="5"/>
        <v>-0.32608695652173908</v>
      </c>
      <c r="N5" s="2">
        <f t="shared" ref="N5" si="7">J5/K5</f>
        <v>1.8548387096774193</v>
      </c>
    </row>
    <row r="6" spans="1:14" x14ac:dyDescent="0.2">
      <c r="A6">
        <v>25</v>
      </c>
      <c r="B6">
        <v>3</v>
      </c>
      <c r="C6" s="9">
        <v>20</v>
      </c>
      <c r="D6">
        <v>20</v>
      </c>
      <c r="E6">
        <v>20</v>
      </c>
      <c r="F6">
        <v>15</v>
      </c>
      <c r="H6">
        <f t="shared" si="0"/>
        <v>51</v>
      </c>
      <c r="I6">
        <f t="shared" si="1"/>
        <v>115</v>
      </c>
      <c r="J6">
        <f t="shared" si="2"/>
        <v>57.5</v>
      </c>
      <c r="K6">
        <f t="shared" si="3"/>
        <v>51</v>
      </c>
      <c r="L6">
        <f t="shared" si="4"/>
        <v>2.9324999999999998E-3</v>
      </c>
      <c r="M6" s="11">
        <f t="shared" si="5"/>
        <v>0.10869565217391305</v>
      </c>
      <c r="N6" s="2">
        <f t="shared" si="6"/>
        <v>1.1274509803921569</v>
      </c>
    </row>
    <row r="7" spans="1:14" x14ac:dyDescent="0.2">
      <c r="A7">
        <v>25</v>
      </c>
      <c r="B7">
        <v>3</v>
      </c>
      <c r="C7" s="9">
        <v>10</v>
      </c>
      <c r="D7">
        <v>20</v>
      </c>
      <c r="E7">
        <v>20</v>
      </c>
      <c r="F7">
        <v>15</v>
      </c>
      <c r="H7">
        <f t="shared" si="0"/>
        <v>41</v>
      </c>
      <c r="I7">
        <f t="shared" si="1"/>
        <v>115</v>
      </c>
      <c r="J7">
        <f t="shared" si="2"/>
        <v>57.5</v>
      </c>
      <c r="K7">
        <f t="shared" si="3"/>
        <v>41</v>
      </c>
      <c r="L7">
        <f t="shared" si="4"/>
        <v>2.3574999999999998E-3</v>
      </c>
      <c r="M7" s="11">
        <f t="shared" si="5"/>
        <v>-0.10869565217391305</v>
      </c>
      <c r="N7" s="2">
        <f t="shared" si="6"/>
        <v>1.4024390243902438</v>
      </c>
    </row>
    <row r="8" spans="1:14" x14ac:dyDescent="0.2">
      <c r="A8">
        <v>25</v>
      </c>
      <c r="B8">
        <v>3</v>
      </c>
      <c r="C8">
        <v>15</v>
      </c>
      <c r="D8" s="9">
        <v>15</v>
      </c>
      <c r="E8">
        <v>20</v>
      </c>
      <c r="F8">
        <v>15</v>
      </c>
      <c r="H8">
        <f t="shared" si="0"/>
        <v>46</v>
      </c>
      <c r="I8">
        <f t="shared" si="1"/>
        <v>100</v>
      </c>
      <c r="J8">
        <f t="shared" si="2"/>
        <v>50</v>
      </c>
      <c r="K8">
        <f t="shared" si="3"/>
        <v>46</v>
      </c>
      <c r="L8">
        <f t="shared" si="4"/>
        <v>2.3E-3</v>
      </c>
      <c r="M8" s="11">
        <f t="shared" si="5"/>
        <v>-0.13043478260869559</v>
      </c>
      <c r="N8" s="2">
        <f t="shared" si="6"/>
        <v>1.0869565217391304</v>
      </c>
    </row>
    <row r="9" spans="1:14" x14ac:dyDescent="0.2">
      <c r="A9">
        <v>25</v>
      </c>
      <c r="B9">
        <v>3</v>
      </c>
      <c r="C9">
        <v>15</v>
      </c>
      <c r="D9" s="9">
        <v>25</v>
      </c>
      <c r="E9">
        <v>20</v>
      </c>
      <c r="F9">
        <v>15</v>
      </c>
      <c r="H9">
        <f t="shared" si="0"/>
        <v>46</v>
      </c>
      <c r="I9">
        <f t="shared" si="1"/>
        <v>130</v>
      </c>
      <c r="J9">
        <f t="shared" si="2"/>
        <v>65</v>
      </c>
      <c r="K9">
        <f t="shared" si="3"/>
        <v>46</v>
      </c>
      <c r="L9">
        <f t="shared" si="4"/>
        <v>2.99E-3</v>
      </c>
      <c r="M9" s="11">
        <f t="shared" si="5"/>
        <v>0.13043478260869576</v>
      </c>
      <c r="N9" s="2">
        <f t="shared" si="6"/>
        <v>1.4130434782608696</v>
      </c>
    </row>
    <row r="10" spans="1:14" x14ac:dyDescent="0.2">
      <c r="A10">
        <v>25</v>
      </c>
      <c r="B10">
        <v>3</v>
      </c>
      <c r="C10">
        <v>15</v>
      </c>
      <c r="D10" s="10">
        <v>20</v>
      </c>
      <c r="E10" s="9">
        <v>15</v>
      </c>
      <c r="F10">
        <v>15</v>
      </c>
      <c r="H10">
        <f t="shared" si="0"/>
        <v>46</v>
      </c>
      <c r="I10">
        <f t="shared" si="1"/>
        <v>105</v>
      </c>
      <c r="J10">
        <f t="shared" si="2"/>
        <v>52.5</v>
      </c>
      <c r="K10">
        <f t="shared" si="3"/>
        <v>46</v>
      </c>
      <c r="L10">
        <f t="shared" si="4"/>
        <v>2.415E-3</v>
      </c>
      <c r="M10" s="11">
        <f t="shared" si="5"/>
        <v>-8.6956521739130335E-2</v>
      </c>
      <c r="N10" s="2">
        <f t="shared" si="6"/>
        <v>1.1413043478260869</v>
      </c>
    </row>
    <row r="11" spans="1:14" x14ac:dyDescent="0.2">
      <c r="A11">
        <v>25</v>
      </c>
      <c r="B11">
        <v>3</v>
      </c>
      <c r="C11">
        <v>15</v>
      </c>
      <c r="D11">
        <v>20</v>
      </c>
      <c r="E11" s="9">
        <v>25</v>
      </c>
      <c r="F11">
        <v>15</v>
      </c>
      <c r="H11">
        <f t="shared" si="0"/>
        <v>46</v>
      </c>
      <c r="I11">
        <f t="shared" si="1"/>
        <v>125</v>
      </c>
      <c r="J11">
        <f t="shared" si="2"/>
        <v>62.5</v>
      </c>
      <c r="K11">
        <f t="shared" si="3"/>
        <v>46</v>
      </c>
      <c r="L11">
        <f t="shared" si="4"/>
        <v>2.875E-3</v>
      </c>
      <c r="M11" s="11">
        <f t="shared" si="5"/>
        <v>8.6956521739130502E-2</v>
      </c>
      <c r="N11" s="2">
        <f t="shared" si="6"/>
        <v>1.3586956521739131</v>
      </c>
    </row>
    <row r="12" spans="1:14" x14ac:dyDescent="0.2">
      <c r="A12">
        <v>25</v>
      </c>
      <c r="B12">
        <v>3</v>
      </c>
      <c r="C12">
        <v>15</v>
      </c>
      <c r="D12">
        <v>20</v>
      </c>
      <c r="E12" s="10">
        <v>20</v>
      </c>
      <c r="F12" s="9">
        <v>20</v>
      </c>
      <c r="H12">
        <f t="shared" si="0"/>
        <v>46</v>
      </c>
      <c r="I12">
        <f t="shared" si="1"/>
        <v>120</v>
      </c>
      <c r="J12">
        <f t="shared" si="2"/>
        <v>60</v>
      </c>
      <c r="K12">
        <f t="shared" si="3"/>
        <v>46</v>
      </c>
      <c r="L12">
        <f t="shared" si="4"/>
        <v>2.7599999999999999E-3</v>
      </c>
      <c r="M12" s="11">
        <f t="shared" si="5"/>
        <v>4.3478260869565251E-2</v>
      </c>
      <c r="N12" s="2">
        <f t="shared" si="6"/>
        <v>1.3043478260869565</v>
      </c>
    </row>
    <row r="13" spans="1:14" x14ac:dyDescent="0.2">
      <c r="A13">
        <v>25</v>
      </c>
      <c r="B13">
        <v>3</v>
      </c>
      <c r="C13">
        <v>15</v>
      </c>
      <c r="D13">
        <v>20</v>
      </c>
      <c r="E13">
        <v>20</v>
      </c>
      <c r="F13" s="9">
        <v>10</v>
      </c>
      <c r="H13">
        <f t="shared" si="0"/>
        <v>46</v>
      </c>
      <c r="I13">
        <f t="shared" si="1"/>
        <v>110</v>
      </c>
      <c r="J13">
        <f t="shared" si="2"/>
        <v>55</v>
      </c>
      <c r="K13">
        <f t="shared" si="3"/>
        <v>46</v>
      </c>
      <c r="L13">
        <f t="shared" si="4"/>
        <v>2.5299999999999997E-3</v>
      </c>
      <c r="M13" s="11">
        <f t="shared" si="5"/>
        <v>-4.3478260869565251E-2</v>
      </c>
      <c r="N13" s="2">
        <f t="shared" si="6"/>
        <v>1.1956521739130435</v>
      </c>
    </row>
    <row r="15" spans="1:14" x14ac:dyDescent="0.2">
      <c r="A15" t="s">
        <v>106</v>
      </c>
    </row>
    <row r="16" spans="1:14" x14ac:dyDescent="0.2">
      <c r="A16" t="s">
        <v>107</v>
      </c>
    </row>
    <row r="17" spans="1:1" x14ac:dyDescent="0.2">
      <c r="A17" t="s">
        <v>108</v>
      </c>
    </row>
    <row r="18" spans="1:1" x14ac:dyDescent="0.2">
      <c r="A18" t="s">
        <v>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2"/>
  <sheetViews>
    <sheetView workbookViewId="0">
      <selection activeCell="F27" sqref="F27"/>
    </sheetView>
  </sheetViews>
  <sheetFormatPr baseColWidth="10" defaultColWidth="8.83203125" defaultRowHeight="15" x14ac:dyDescent="0.2"/>
  <cols>
    <col min="16" max="16" width="8.83203125" style="11"/>
    <col min="17" max="17" width="8.83203125" style="2"/>
  </cols>
  <sheetData>
    <row r="1" spans="1:17" s="4" customFormat="1" x14ac:dyDescent="0.2">
      <c r="B1" s="4" t="s">
        <v>34</v>
      </c>
      <c r="C1" s="4" t="s">
        <v>37</v>
      </c>
      <c r="D1" s="4" t="s">
        <v>38</v>
      </c>
      <c r="E1" s="4" t="s">
        <v>39</v>
      </c>
      <c r="G1" s="4" t="s">
        <v>37</v>
      </c>
      <c r="H1" s="4" t="s">
        <v>40</v>
      </c>
      <c r="I1" s="4" t="s">
        <v>58</v>
      </c>
      <c r="K1" s="4" t="s">
        <v>54</v>
      </c>
      <c r="L1" s="4" t="s">
        <v>42</v>
      </c>
      <c r="M1" s="4" t="s">
        <v>43</v>
      </c>
      <c r="N1" s="4" t="s">
        <v>30</v>
      </c>
      <c r="O1" s="4" t="s">
        <v>31</v>
      </c>
      <c r="P1" s="11" t="s">
        <v>111</v>
      </c>
      <c r="Q1" s="12" t="s">
        <v>118</v>
      </c>
    </row>
    <row r="2" spans="1:17" x14ac:dyDescent="0.2">
      <c r="B2" s="4" t="s">
        <v>32</v>
      </c>
      <c r="C2">
        <f>G2</f>
        <v>24</v>
      </c>
      <c r="D2">
        <v>15</v>
      </c>
      <c r="E2">
        <v>2</v>
      </c>
      <c r="G2" s="9">
        <v>24</v>
      </c>
      <c r="H2">
        <v>15</v>
      </c>
      <c r="I2">
        <f>PI()*G2</f>
        <v>75.398223686155035</v>
      </c>
      <c r="K2">
        <f>C2+D2+E2*2</f>
        <v>43</v>
      </c>
      <c r="L2">
        <f>G2+H2</f>
        <v>39</v>
      </c>
      <c r="M2">
        <f>L2</f>
        <v>39</v>
      </c>
      <c r="N2">
        <f>K2</f>
        <v>43</v>
      </c>
      <c r="O2">
        <f>N2*M2*0.000001</f>
        <v>1.6769999999999999E-3</v>
      </c>
      <c r="P2" s="11">
        <f>(O2-$O$2)/$O$2</f>
        <v>0</v>
      </c>
      <c r="Q2" s="2">
        <f>(M2/N2)^-1</f>
        <v>1.1025641025641026</v>
      </c>
    </row>
    <row r="3" spans="1:17" x14ac:dyDescent="0.2">
      <c r="B3" s="4" t="s">
        <v>32</v>
      </c>
      <c r="C3">
        <f t="shared" ref="C3:C7" si="0">G3</f>
        <v>30</v>
      </c>
      <c r="D3">
        <v>15</v>
      </c>
      <c r="E3">
        <v>2</v>
      </c>
      <c r="G3" s="9">
        <v>30</v>
      </c>
      <c r="H3">
        <v>15</v>
      </c>
      <c r="I3">
        <f t="shared" ref="I3:I7" si="1">PI()*G3</f>
        <v>94.247779607693786</v>
      </c>
      <c r="K3">
        <f t="shared" ref="K3:K7" si="2">C3+D3+E3*2</f>
        <v>49</v>
      </c>
      <c r="L3">
        <f t="shared" ref="L3:L7" si="3">G3+H3</f>
        <v>45</v>
      </c>
      <c r="M3">
        <f t="shared" ref="M3:M7" si="4">L3</f>
        <v>45</v>
      </c>
      <c r="N3">
        <f t="shared" ref="N3:N7" si="5">K3</f>
        <v>49</v>
      </c>
      <c r="O3">
        <f t="shared" ref="O3:O7" si="6">N3*M3*0.000001</f>
        <v>2.2049999999999999E-3</v>
      </c>
      <c r="P3" s="11">
        <f t="shared" ref="P3:P7" si="7">(O3-$O$2)/$O$2</f>
        <v>0.31484794275491956</v>
      </c>
      <c r="Q3" s="2">
        <f t="shared" ref="Q3:Q7" si="8">(M3/N3)^-1</f>
        <v>1.0888888888888888</v>
      </c>
    </row>
    <row r="4" spans="1:17" x14ac:dyDescent="0.2">
      <c r="B4" s="4" t="s">
        <v>32</v>
      </c>
      <c r="C4">
        <f t="shared" si="0"/>
        <v>20</v>
      </c>
      <c r="D4">
        <v>15</v>
      </c>
      <c r="E4">
        <v>2</v>
      </c>
      <c r="G4" s="9">
        <v>20</v>
      </c>
      <c r="H4">
        <v>15</v>
      </c>
      <c r="I4">
        <f t="shared" si="1"/>
        <v>62.831853071795862</v>
      </c>
      <c r="K4">
        <f t="shared" si="2"/>
        <v>39</v>
      </c>
      <c r="L4">
        <f t="shared" si="3"/>
        <v>35</v>
      </c>
      <c r="M4">
        <f t="shared" si="4"/>
        <v>35</v>
      </c>
      <c r="N4">
        <f t="shared" si="5"/>
        <v>39</v>
      </c>
      <c r="O4">
        <f t="shared" si="6"/>
        <v>1.3649999999999999E-3</v>
      </c>
      <c r="P4" s="11">
        <f t="shared" si="7"/>
        <v>-0.18604651162790697</v>
      </c>
      <c r="Q4" s="2">
        <f t="shared" si="8"/>
        <v>1.1142857142857143</v>
      </c>
    </row>
    <row r="5" spans="1:17" x14ac:dyDescent="0.2">
      <c r="B5" s="4" t="s">
        <v>32</v>
      </c>
      <c r="C5">
        <f t="shared" si="0"/>
        <v>24</v>
      </c>
      <c r="D5">
        <v>15</v>
      </c>
      <c r="E5">
        <v>2</v>
      </c>
      <c r="G5">
        <v>24</v>
      </c>
      <c r="H5" s="9">
        <v>20</v>
      </c>
      <c r="I5">
        <f t="shared" si="1"/>
        <v>75.398223686155035</v>
      </c>
      <c r="K5">
        <f t="shared" si="2"/>
        <v>43</v>
      </c>
      <c r="L5">
        <f t="shared" si="3"/>
        <v>44</v>
      </c>
      <c r="M5">
        <f t="shared" si="4"/>
        <v>44</v>
      </c>
      <c r="N5">
        <f t="shared" si="5"/>
        <v>43</v>
      </c>
      <c r="O5">
        <f t="shared" si="6"/>
        <v>1.892E-3</v>
      </c>
      <c r="P5" s="11">
        <f t="shared" si="7"/>
        <v>0.1282051282051283</v>
      </c>
      <c r="Q5" s="2">
        <f t="shared" si="8"/>
        <v>0.97727272727272718</v>
      </c>
    </row>
    <row r="6" spans="1:17" x14ac:dyDescent="0.2">
      <c r="B6" s="4" t="s">
        <v>32</v>
      </c>
      <c r="C6">
        <f t="shared" si="0"/>
        <v>24</v>
      </c>
      <c r="D6">
        <v>15</v>
      </c>
      <c r="E6">
        <v>2</v>
      </c>
      <c r="G6">
        <v>24</v>
      </c>
      <c r="H6" s="9">
        <v>10</v>
      </c>
      <c r="I6">
        <f t="shared" si="1"/>
        <v>75.398223686155035</v>
      </c>
      <c r="K6">
        <f t="shared" si="2"/>
        <v>43</v>
      </c>
      <c r="L6">
        <f t="shared" si="3"/>
        <v>34</v>
      </c>
      <c r="M6">
        <f t="shared" si="4"/>
        <v>34</v>
      </c>
      <c r="N6">
        <f t="shared" si="5"/>
        <v>43</v>
      </c>
      <c r="O6">
        <f t="shared" si="6"/>
        <v>1.462E-3</v>
      </c>
      <c r="P6" s="11">
        <f t="shared" si="7"/>
        <v>-0.12820512820512817</v>
      </c>
      <c r="Q6" s="2">
        <f t="shared" si="8"/>
        <v>1.2647058823529413</v>
      </c>
    </row>
    <row r="7" spans="1:17" x14ac:dyDescent="0.2">
      <c r="B7" s="4" t="s">
        <v>32</v>
      </c>
      <c r="C7">
        <f t="shared" si="0"/>
        <v>24</v>
      </c>
      <c r="D7">
        <v>15</v>
      </c>
      <c r="E7">
        <v>2</v>
      </c>
      <c r="G7">
        <v>24</v>
      </c>
      <c r="H7" s="9">
        <v>15</v>
      </c>
      <c r="I7">
        <f t="shared" si="1"/>
        <v>75.398223686155035</v>
      </c>
      <c r="K7">
        <f t="shared" si="2"/>
        <v>43</v>
      </c>
      <c r="L7">
        <f t="shared" si="3"/>
        <v>39</v>
      </c>
      <c r="M7">
        <f t="shared" si="4"/>
        <v>39</v>
      </c>
      <c r="N7">
        <f t="shared" si="5"/>
        <v>43</v>
      </c>
      <c r="O7">
        <f t="shared" si="6"/>
        <v>1.6769999999999999E-3</v>
      </c>
      <c r="P7" s="11">
        <f t="shared" si="7"/>
        <v>0</v>
      </c>
      <c r="Q7" s="2">
        <f t="shared" si="8"/>
        <v>1.1025641025641026</v>
      </c>
    </row>
    <row r="8" spans="1:17" x14ac:dyDescent="0.2">
      <c r="B8" s="4"/>
    </row>
    <row r="9" spans="1:17" x14ac:dyDescent="0.2">
      <c r="B9" s="4"/>
    </row>
    <row r="10" spans="1:17" x14ac:dyDescent="0.2">
      <c r="B10" s="4"/>
    </row>
    <row r="11" spans="1:17" x14ac:dyDescent="0.2">
      <c r="A11" t="s">
        <v>116</v>
      </c>
      <c r="B11" s="4"/>
    </row>
    <row r="12" spans="1:17" x14ac:dyDescent="0.2">
      <c r="A12" t="s">
        <v>117</v>
      </c>
      <c r="B12" s="4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0"/>
  <sheetViews>
    <sheetView workbookViewId="0">
      <selection activeCell="A21" sqref="A21"/>
    </sheetView>
  </sheetViews>
  <sheetFormatPr baseColWidth="10" defaultColWidth="8.83203125" defaultRowHeight="15" x14ac:dyDescent="0.2"/>
  <cols>
    <col min="16" max="16" width="8.83203125" style="11"/>
    <col min="17" max="17" width="8.83203125" style="2"/>
  </cols>
  <sheetData>
    <row r="1" spans="1:17" x14ac:dyDescent="0.2">
      <c r="B1" s="4" t="s">
        <v>34</v>
      </c>
      <c r="C1" t="s">
        <v>47</v>
      </c>
      <c r="D1" t="s">
        <v>37</v>
      </c>
      <c r="E1" t="s">
        <v>38</v>
      </c>
      <c r="F1" t="s">
        <v>39</v>
      </c>
      <c r="G1" t="s">
        <v>47</v>
      </c>
      <c r="H1" t="s">
        <v>37</v>
      </c>
      <c r="I1" t="s">
        <v>40</v>
      </c>
      <c r="J1" t="s">
        <v>58</v>
      </c>
      <c r="K1" t="s">
        <v>48</v>
      </c>
      <c r="L1" t="s">
        <v>49</v>
      </c>
      <c r="M1" t="s">
        <v>43</v>
      </c>
      <c r="N1" t="s">
        <v>30</v>
      </c>
      <c r="O1" t="s">
        <v>110</v>
      </c>
      <c r="P1" s="11" t="s">
        <v>111</v>
      </c>
      <c r="Q1" s="12" t="s">
        <v>118</v>
      </c>
    </row>
    <row r="2" spans="1:17" x14ac:dyDescent="0.2">
      <c r="B2" s="4" t="s">
        <v>32</v>
      </c>
      <c r="C2">
        <v>5</v>
      </c>
      <c r="D2" s="9">
        <v>14</v>
      </c>
      <c r="E2">
        <v>15</v>
      </c>
      <c r="F2">
        <v>2</v>
      </c>
      <c r="G2">
        <v>5</v>
      </c>
      <c r="H2">
        <f>D2</f>
        <v>14</v>
      </c>
      <c r="I2">
        <v>15</v>
      </c>
      <c r="J2">
        <f>PI()*D2</f>
        <v>43.982297150257104</v>
      </c>
      <c r="K2">
        <f>2*C2+D2+E2+2*F2</f>
        <v>43</v>
      </c>
      <c r="L2">
        <f>G2*2+H2+I2</f>
        <v>39</v>
      </c>
      <c r="M2">
        <f>L2</f>
        <v>39</v>
      </c>
      <c r="N2">
        <f>K2</f>
        <v>43</v>
      </c>
      <c r="O2">
        <f>N2*M2*0.000001</f>
        <v>1.6769999999999999E-3</v>
      </c>
      <c r="P2" s="11">
        <f>(O2-$O$2)/$O$2</f>
        <v>0</v>
      </c>
      <c r="Q2" s="2">
        <f>(M2/N2)^-1</f>
        <v>1.1025641025641026</v>
      </c>
    </row>
    <row r="3" spans="1:17" x14ac:dyDescent="0.2">
      <c r="B3" s="4" t="s">
        <v>32</v>
      </c>
      <c r="C3">
        <v>5</v>
      </c>
      <c r="D3" s="9">
        <v>20</v>
      </c>
      <c r="E3">
        <v>15</v>
      </c>
      <c r="F3">
        <v>2</v>
      </c>
      <c r="G3">
        <v>5</v>
      </c>
      <c r="H3">
        <f t="shared" ref="H3:H4" si="0">D3</f>
        <v>20</v>
      </c>
      <c r="I3">
        <v>15</v>
      </c>
      <c r="J3">
        <f t="shared" ref="J3:J13" si="1">PI()*D3</f>
        <v>62.831853071795862</v>
      </c>
      <c r="K3">
        <f t="shared" ref="K3:K13" si="2">2*C3+D3+E3+2*F3</f>
        <v>49</v>
      </c>
      <c r="L3">
        <f t="shared" ref="L3:L13" si="3">G3*2+H3+I3</f>
        <v>45</v>
      </c>
      <c r="M3">
        <f t="shared" ref="M3:M13" si="4">L3</f>
        <v>45</v>
      </c>
      <c r="N3">
        <f t="shared" ref="N3:N13" si="5">K3</f>
        <v>49</v>
      </c>
      <c r="O3">
        <f t="shared" ref="O3:O13" si="6">N3*M3*0.000001</f>
        <v>2.2049999999999999E-3</v>
      </c>
      <c r="P3" s="11">
        <f t="shared" ref="P3:P13" si="7">(O3-$O$2)/$O$2</f>
        <v>0.31484794275491956</v>
      </c>
      <c r="Q3" s="2">
        <f t="shared" ref="Q3:Q13" si="8">(M3/N3)^-1</f>
        <v>1.0888888888888888</v>
      </c>
    </row>
    <row r="4" spans="1:17" x14ac:dyDescent="0.2">
      <c r="B4" s="4" t="s">
        <v>32</v>
      </c>
      <c r="C4">
        <v>5</v>
      </c>
      <c r="D4" s="9">
        <v>25</v>
      </c>
      <c r="E4">
        <v>15</v>
      </c>
      <c r="F4">
        <v>2</v>
      </c>
      <c r="G4">
        <v>5</v>
      </c>
      <c r="H4">
        <f t="shared" si="0"/>
        <v>25</v>
      </c>
      <c r="I4">
        <v>15</v>
      </c>
      <c r="J4">
        <f t="shared" si="1"/>
        <v>78.539816339744831</v>
      </c>
      <c r="K4">
        <f t="shared" si="2"/>
        <v>54</v>
      </c>
      <c r="L4">
        <f t="shared" si="3"/>
        <v>50</v>
      </c>
      <c r="M4">
        <f t="shared" si="4"/>
        <v>50</v>
      </c>
      <c r="N4">
        <f t="shared" si="5"/>
        <v>54</v>
      </c>
      <c r="O4">
        <f t="shared" si="6"/>
        <v>2.6999999999999997E-3</v>
      </c>
      <c r="P4" s="11">
        <f t="shared" si="7"/>
        <v>0.61001788908765642</v>
      </c>
      <c r="Q4" s="2">
        <f t="shared" si="8"/>
        <v>1.08</v>
      </c>
    </row>
    <row r="5" spans="1:17" x14ac:dyDescent="0.2">
      <c r="B5" s="4" t="s">
        <v>32</v>
      </c>
      <c r="C5">
        <v>5</v>
      </c>
      <c r="D5">
        <v>10</v>
      </c>
      <c r="E5" s="9">
        <v>15</v>
      </c>
      <c r="F5">
        <v>2</v>
      </c>
      <c r="G5">
        <v>5</v>
      </c>
      <c r="H5">
        <v>14</v>
      </c>
      <c r="I5">
        <v>15</v>
      </c>
      <c r="J5">
        <f t="shared" si="1"/>
        <v>31.415926535897931</v>
      </c>
      <c r="K5">
        <f t="shared" si="2"/>
        <v>39</v>
      </c>
      <c r="L5">
        <f t="shared" si="3"/>
        <v>39</v>
      </c>
      <c r="M5">
        <f t="shared" si="4"/>
        <v>39</v>
      </c>
      <c r="N5">
        <f t="shared" si="5"/>
        <v>39</v>
      </c>
      <c r="O5">
        <f t="shared" si="6"/>
        <v>1.521E-3</v>
      </c>
      <c r="P5" s="11">
        <f t="shared" si="7"/>
        <v>-9.3023255813953432E-2</v>
      </c>
      <c r="Q5" s="2">
        <f t="shared" si="8"/>
        <v>1</v>
      </c>
    </row>
    <row r="6" spans="1:17" x14ac:dyDescent="0.2">
      <c r="B6" s="4" t="s">
        <v>32</v>
      </c>
      <c r="C6">
        <v>5</v>
      </c>
      <c r="D6">
        <v>14</v>
      </c>
      <c r="E6" s="9">
        <v>10</v>
      </c>
      <c r="F6">
        <v>2</v>
      </c>
      <c r="G6">
        <v>5</v>
      </c>
      <c r="H6">
        <v>14</v>
      </c>
      <c r="I6">
        <v>15</v>
      </c>
      <c r="J6">
        <f t="shared" si="1"/>
        <v>43.982297150257104</v>
      </c>
      <c r="K6">
        <f t="shared" si="2"/>
        <v>38</v>
      </c>
      <c r="L6">
        <f t="shared" si="3"/>
        <v>39</v>
      </c>
      <c r="M6">
        <f t="shared" si="4"/>
        <v>39</v>
      </c>
      <c r="N6">
        <f t="shared" si="5"/>
        <v>38</v>
      </c>
      <c r="O6">
        <f t="shared" si="6"/>
        <v>1.482E-3</v>
      </c>
      <c r="P6" s="11">
        <f t="shared" si="7"/>
        <v>-0.11627906976744179</v>
      </c>
      <c r="Q6" s="2">
        <f t="shared" si="8"/>
        <v>0.97435897435897423</v>
      </c>
    </row>
    <row r="7" spans="1:17" x14ac:dyDescent="0.2">
      <c r="B7" s="4" t="s">
        <v>32</v>
      </c>
      <c r="C7">
        <v>5</v>
      </c>
      <c r="D7">
        <v>14</v>
      </c>
      <c r="E7" s="9">
        <v>20</v>
      </c>
      <c r="F7">
        <v>2</v>
      </c>
      <c r="G7">
        <v>5</v>
      </c>
      <c r="H7">
        <v>14</v>
      </c>
      <c r="I7">
        <v>15</v>
      </c>
      <c r="J7">
        <f t="shared" si="1"/>
        <v>43.982297150257104</v>
      </c>
      <c r="K7">
        <f t="shared" si="2"/>
        <v>48</v>
      </c>
      <c r="L7">
        <f t="shared" si="3"/>
        <v>39</v>
      </c>
      <c r="M7">
        <f t="shared" si="4"/>
        <v>39</v>
      </c>
      <c r="N7">
        <f t="shared" si="5"/>
        <v>48</v>
      </c>
      <c r="O7">
        <f t="shared" si="6"/>
        <v>1.872E-3</v>
      </c>
      <c r="P7" s="11">
        <f t="shared" si="7"/>
        <v>0.11627906976744191</v>
      </c>
      <c r="Q7" s="2">
        <f t="shared" si="8"/>
        <v>1.2307692307692308</v>
      </c>
    </row>
    <row r="8" spans="1:17" x14ac:dyDescent="0.2">
      <c r="B8" s="4" t="s">
        <v>32</v>
      </c>
      <c r="C8">
        <v>5</v>
      </c>
      <c r="D8">
        <v>14</v>
      </c>
      <c r="E8">
        <v>15</v>
      </c>
      <c r="F8" s="9">
        <v>3</v>
      </c>
      <c r="G8">
        <v>5</v>
      </c>
      <c r="H8">
        <v>14</v>
      </c>
      <c r="I8">
        <v>15</v>
      </c>
      <c r="J8">
        <f t="shared" si="1"/>
        <v>43.982297150257104</v>
      </c>
      <c r="K8">
        <f t="shared" si="2"/>
        <v>45</v>
      </c>
      <c r="L8">
        <f t="shared" si="3"/>
        <v>39</v>
      </c>
      <c r="M8">
        <f t="shared" si="4"/>
        <v>39</v>
      </c>
      <c r="N8">
        <f t="shared" si="5"/>
        <v>45</v>
      </c>
      <c r="O8">
        <f t="shared" si="6"/>
        <v>1.7549999999999998E-3</v>
      </c>
      <c r="P8" s="11">
        <f t="shared" si="7"/>
        <v>4.6511627906976716E-2</v>
      </c>
      <c r="Q8" s="2">
        <f>(M8/N8)^-1</f>
        <v>1.1538461538461537</v>
      </c>
    </row>
    <row r="9" spans="1:17" x14ac:dyDescent="0.2">
      <c r="B9" s="4" t="s">
        <v>32</v>
      </c>
      <c r="C9">
        <v>5</v>
      </c>
      <c r="D9">
        <v>14</v>
      </c>
      <c r="E9">
        <v>15</v>
      </c>
      <c r="F9" s="9">
        <v>5</v>
      </c>
      <c r="G9">
        <v>5</v>
      </c>
      <c r="H9">
        <v>14</v>
      </c>
      <c r="I9">
        <v>15</v>
      </c>
      <c r="J9">
        <f t="shared" si="1"/>
        <v>43.982297150257104</v>
      </c>
      <c r="K9">
        <f t="shared" si="2"/>
        <v>49</v>
      </c>
      <c r="L9">
        <f t="shared" si="3"/>
        <v>39</v>
      </c>
      <c r="M9">
        <f t="shared" si="4"/>
        <v>39</v>
      </c>
      <c r="N9">
        <f t="shared" si="5"/>
        <v>49</v>
      </c>
      <c r="O9">
        <f t="shared" si="6"/>
        <v>1.9109999999999999E-3</v>
      </c>
      <c r="P9" s="11">
        <f t="shared" si="7"/>
        <v>0.13953488372093026</v>
      </c>
      <c r="Q9" s="2">
        <f t="shared" si="8"/>
        <v>1.2564102564102564</v>
      </c>
    </row>
    <row r="10" spans="1:17" x14ac:dyDescent="0.2">
      <c r="B10" s="4" t="s">
        <v>32</v>
      </c>
      <c r="C10">
        <v>5</v>
      </c>
      <c r="D10">
        <v>14</v>
      </c>
      <c r="E10">
        <v>15</v>
      </c>
      <c r="F10" s="9">
        <v>1</v>
      </c>
      <c r="G10">
        <v>5</v>
      </c>
      <c r="H10">
        <v>14</v>
      </c>
      <c r="I10">
        <v>15</v>
      </c>
      <c r="J10">
        <f t="shared" si="1"/>
        <v>43.982297150257104</v>
      </c>
      <c r="K10">
        <f t="shared" si="2"/>
        <v>41</v>
      </c>
      <c r="L10">
        <f t="shared" si="3"/>
        <v>39</v>
      </c>
      <c r="M10">
        <f t="shared" si="4"/>
        <v>39</v>
      </c>
      <c r="N10">
        <f t="shared" si="5"/>
        <v>41</v>
      </c>
      <c r="O10">
        <f t="shared" si="6"/>
        <v>1.5989999999999999E-3</v>
      </c>
      <c r="P10" s="11">
        <f t="shared" si="7"/>
        <v>-4.6511627906976716E-2</v>
      </c>
      <c r="Q10" s="2">
        <f t="shared" si="8"/>
        <v>1.0512820512820513</v>
      </c>
    </row>
    <row r="11" spans="1:17" x14ac:dyDescent="0.2">
      <c r="B11" s="4" t="s">
        <v>32</v>
      </c>
      <c r="C11" s="9">
        <v>3</v>
      </c>
      <c r="D11">
        <v>14</v>
      </c>
      <c r="E11">
        <v>15</v>
      </c>
      <c r="F11">
        <v>2</v>
      </c>
      <c r="G11">
        <v>5</v>
      </c>
      <c r="H11">
        <v>14</v>
      </c>
      <c r="I11">
        <v>15</v>
      </c>
      <c r="J11">
        <f t="shared" si="1"/>
        <v>43.982297150257104</v>
      </c>
      <c r="K11">
        <f t="shared" si="2"/>
        <v>39</v>
      </c>
      <c r="L11">
        <f t="shared" si="3"/>
        <v>39</v>
      </c>
      <c r="M11">
        <f t="shared" si="4"/>
        <v>39</v>
      </c>
      <c r="N11">
        <f t="shared" si="5"/>
        <v>39</v>
      </c>
      <c r="O11">
        <f t="shared" si="6"/>
        <v>1.521E-3</v>
      </c>
      <c r="P11" s="11">
        <f t="shared" si="7"/>
        <v>-9.3023255813953432E-2</v>
      </c>
      <c r="Q11" s="2">
        <f t="shared" si="8"/>
        <v>1</v>
      </c>
    </row>
    <row r="12" spans="1:17" x14ac:dyDescent="0.2">
      <c r="B12" s="4" t="s">
        <v>32</v>
      </c>
      <c r="C12" s="9">
        <v>7</v>
      </c>
      <c r="D12">
        <v>14</v>
      </c>
      <c r="E12">
        <v>15</v>
      </c>
      <c r="F12">
        <v>2</v>
      </c>
      <c r="G12">
        <v>5</v>
      </c>
      <c r="H12">
        <v>14</v>
      </c>
      <c r="I12">
        <v>15</v>
      </c>
      <c r="J12">
        <f t="shared" si="1"/>
        <v>43.982297150257104</v>
      </c>
      <c r="K12">
        <f t="shared" si="2"/>
        <v>47</v>
      </c>
      <c r="L12">
        <f t="shared" si="3"/>
        <v>39</v>
      </c>
      <c r="M12">
        <f t="shared" si="4"/>
        <v>39</v>
      </c>
      <c r="N12">
        <f t="shared" si="5"/>
        <v>47</v>
      </c>
      <c r="O12">
        <f t="shared" si="6"/>
        <v>1.833E-3</v>
      </c>
      <c r="P12" s="11">
        <f t="shared" si="7"/>
        <v>9.3023255813953556E-2</v>
      </c>
      <c r="Q12" s="2">
        <f t="shared" si="8"/>
        <v>1.2051282051282051</v>
      </c>
    </row>
    <row r="13" spans="1:17" x14ac:dyDescent="0.2">
      <c r="B13" s="4" t="s">
        <v>32</v>
      </c>
      <c r="C13" s="9">
        <v>1.5</v>
      </c>
      <c r="D13">
        <v>14</v>
      </c>
      <c r="E13">
        <v>15</v>
      </c>
      <c r="F13">
        <v>2</v>
      </c>
      <c r="G13">
        <v>5</v>
      </c>
      <c r="H13">
        <v>14</v>
      </c>
      <c r="I13">
        <v>15</v>
      </c>
      <c r="J13">
        <f t="shared" si="1"/>
        <v>43.982297150257104</v>
      </c>
      <c r="K13">
        <f t="shared" si="2"/>
        <v>36</v>
      </c>
      <c r="L13">
        <f t="shared" si="3"/>
        <v>39</v>
      </c>
      <c r="M13">
        <f t="shared" si="4"/>
        <v>39</v>
      </c>
      <c r="N13">
        <f t="shared" si="5"/>
        <v>36</v>
      </c>
      <c r="O13">
        <f t="shared" si="6"/>
        <v>1.4039999999999999E-3</v>
      </c>
      <c r="P13" s="11">
        <f t="shared" si="7"/>
        <v>-0.16279069767441862</v>
      </c>
      <c r="Q13" s="2">
        <f t="shared" si="8"/>
        <v>0.92307692307692313</v>
      </c>
    </row>
    <row r="16" spans="1:17" x14ac:dyDescent="0.2">
      <c r="A16" t="s">
        <v>112</v>
      </c>
    </row>
    <row r="17" spans="1:1" x14ac:dyDescent="0.2">
      <c r="A17" t="s">
        <v>113</v>
      </c>
    </row>
    <row r="18" spans="1:1" x14ac:dyDescent="0.2">
      <c r="A18" t="s">
        <v>114</v>
      </c>
    </row>
    <row r="19" spans="1:1" x14ac:dyDescent="0.2">
      <c r="A19" t="s">
        <v>115</v>
      </c>
    </row>
    <row r="20" spans="1:1" x14ac:dyDescent="0.2">
      <c r="A20" t="s">
        <v>121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0"/>
  <sheetViews>
    <sheetView topLeftCell="F1" zoomScale="130" zoomScaleNormal="130" workbookViewId="0">
      <selection activeCell="M10" sqref="M10:N10"/>
    </sheetView>
  </sheetViews>
  <sheetFormatPr baseColWidth="10" defaultColWidth="8.83203125" defaultRowHeight="15" x14ac:dyDescent="0.2"/>
  <cols>
    <col min="1" max="1" width="11.33203125" style="4" bestFit="1" customWidth="1"/>
    <col min="2" max="2" width="10" style="4" customWidth="1"/>
    <col min="3" max="3" width="16.1640625" customWidth="1"/>
    <col min="5" max="5" width="10.1640625" bestFit="1" customWidth="1"/>
    <col min="6" max="7" width="12.5" customWidth="1"/>
    <col min="8" max="8" width="11" customWidth="1"/>
    <col min="9" max="9" width="16.5" bestFit="1" customWidth="1"/>
    <col min="11" max="11" width="30.33203125" customWidth="1"/>
    <col min="12" max="12" width="17.33203125" bestFit="1" customWidth="1"/>
    <col min="13" max="13" width="13.83203125" customWidth="1"/>
    <col min="14" max="14" width="16" bestFit="1" customWidth="1"/>
    <col min="15" max="15" width="16" customWidth="1"/>
  </cols>
  <sheetData>
    <row r="1" spans="1:17" s="4" customFormat="1" x14ac:dyDescent="0.2">
      <c r="A1" s="4" t="s">
        <v>0</v>
      </c>
      <c r="B1" s="4" t="s">
        <v>33</v>
      </c>
      <c r="C1" s="4" t="s">
        <v>78</v>
      </c>
      <c r="D1" s="4" t="s">
        <v>77</v>
      </c>
      <c r="E1" s="4" t="s">
        <v>76</v>
      </c>
      <c r="F1" s="4" t="s">
        <v>119</v>
      </c>
      <c r="G1" s="4" t="s">
        <v>96</v>
      </c>
      <c r="H1" s="4" t="s">
        <v>75</v>
      </c>
      <c r="I1" s="4" t="s">
        <v>74</v>
      </c>
      <c r="J1" s="4" t="s">
        <v>73</v>
      </c>
      <c r="K1" s="4" t="s">
        <v>72</v>
      </c>
      <c r="L1" s="4" t="s">
        <v>70</v>
      </c>
      <c r="M1" s="4" t="s">
        <v>71</v>
      </c>
      <c r="N1" s="4" t="s">
        <v>120</v>
      </c>
      <c r="O1" s="4" t="s">
        <v>86</v>
      </c>
      <c r="P1" s="4" t="s">
        <v>69</v>
      </c>
      <c r="Q1" s="4" t="s">
        <v>68</v>
      </c>
    </row>
    <row r="2" spans="1:17" ht="32" x14ac:dyDescent="0.2">
      <c r="A2" s="13" t="s">
        <v>35</v>
      </c>
      <c r="B2" s="4" t="s">
        <v>34</v>
      </c>
      <c r="C2" t="s">
        <v>56</v>
      </c>
      <c r="D2" t="s">
        <v>59</v>
      </c>
      <c r="E2" t="s">
        <v>61</v>
      </c>
      <c r="F2" t="s">
        <v>58</v>
      </c>
      <c r="H2" t="s">
        <v>62</v>
      </c>
      <c r="I2" t="s">
        <v>63</v>
      </c>
      <c r="J2" t="s">
        <v>64</v>
      </c>
      <c r="K2" s="1" t="s">
        <v>66</v>
      </c>
      <c r="L2" s="3" t="s">
        <v>79</v>
      </c>
      <c r="M2" s="1" t="s">
        <v>80</v>
      </c>
      <c r="N2" t="s">
        <v>81</v>
      </c>
      <c r="O2" t="s">
        <v>87</v>
      </c>
      <c r="P2" t="s">
        <v>82</v>
      </c>
    </row>
    <row r="3" spans="1:17" s="1" customFormat="1" ht="80" x14ac:dyDescent="0.2">
      <c r="A3" s="13"/>
      <c r="B3" s="5" t="s">
        <v>20</v>
      </c>
      <c r="C3" s="1" t="s">
        <v>57</v>
      </c>
      <c r="D3" s="1" t="s">
        <v>60</v>
      </c>
      <c r="F3" s="1" t="s">
        <v>65</v>
      </c>
      <c r="H3" s="7"/>
      <c r="N3" s="1" t="s">
        <v>67</v>
      </c>
      <c r="O3" s="1" t="s">
        <v>88</v>
      </c>
    </row>
    <row r="4" spans="1:17" x14ac:dyDescent="0.2">
      <c r="A4" s="13"/>
      <c r="B4" s="4" t="s">
        <v>32</v>
      </c>
      <c r="C4">
        <f>MAX(Geometricals!H4,20)</f>
        <v>20</v>
      </c>
      <c r="D4" s="6">
        <v>9.9999999999999995E-7</v>
      </c>
      <c r="E4" s="6">
        <f>C4+D4</f>
        <v>20.000001000000001</v>
      </c>
      <c r="F4" s="6">
        <f>2*50-4*D4+Geometricals!C4</f>
        <v>109.999996</v>
      </c>
      <c r="G4" s="8">
        <f>F4/2/Geometricals!C4</f>
        <v>5.4999997999999994</v>
      </c>
      <c r="H4">
        <v>25</v>
      </c>
      <c r="I4" s="2">
        <f>0.00000000000885*22/10000/0.000000007</f>
        <v>2.7814285714285717E-6</v>
      </c>
      <c r="J4">
        <v>1.2</v>
      </c>
      <c r="K4">
        <f>(H4*I4*J4)^-1 *((F4/C4)^-1 + ((F4+2*D4)/D4)^-1)</f>
        <v>2178.9546013433164</v>
      </c>
      <c r="L4" s="2">
        <v>1.9999999999999999E-7</v>
      </c>
      <c r="M4">
        <f>L4/(F4*0.0000001*Geometricals!G4*0.0000001)</f>
        <v>9090.9094214876168</v>
      </c>
      <c r="N4">
        <f>0.5/(K4+2*M4)</f>
        <v>2.4557023895353028E-5</v>
      </c>
      <c r="O4">
        <v>2</v>
      </c>
      <c r="P4" s="2">
        <f>I4*F4*0.0000001*O4*0.0000001</f>
        <v>6.1191426346285714E-18</v>
      </c>
    </row>
    <row r="5" spans="1:17" ht="32" x14ac:dyDescent="0.2">
      <c r="A5" s="13" t="s">
        <v>36</v>
      </c>
      <c r="B5" s="4" t="s">
        <v>34</v>
      </c>
      <c r="C5" t="s">
        <v>56</v>
      </c>
      <c r="F5" s="1" t="s">
        <v>84</v>
      </c>
      <c r="G5" s="1"/>
      <c r="H5" t="s">
        <v>62</v>
      </c>
      <c r="K5" s="1" t="s">
        <v>93</v>
      </c>
      <c r="O5" t="s">
        <v>90</v>
      </c>
    </row>
    <row r="6" spans="1:17" s="1" customFormat="1" ht="48" x14ac:dyDescent="0.2">
      <c r="A6" s="13"/>
      <c r="B6" s="5" t="s">
        <v>20</v>
      </c>
      <c r="C6" s="1" t="s">
        <v>85</v>
      </c>
      <c r="O6" s="1" t="s">
        <v>89</v>
      </c>
    </row>
    <row r="7" spans="1:17" x14ac:dyDescent="0.2">
      <c r="A7" s="13"/>
      <c r="B7" s="4" t="s">
        <v>32</v>
      </c>
      <c r="C7">
        <v>40</v>
      </c>
      <c r="F7">
        <f>PI()*Geometricals!C7-2*2</f>
        <v>71.398223686155035</v>
      </c>
      <c r="G7">
        <f>(C7+20)/Geometricals!C7</f>
        <v>2.5</v>
      </c>
      <c r="H7">
        <v>25</v>
      </c>
      <c r="I7" s="2">
        <f>0.00000000000885*22/10000/0.000000007</f>
        <v>2.7814285714285717E-6</v>
      </c>
      <c r="J7">
        <v>1.2</v>
      </c>
      <c r="K7">
        <f>(H4*I4*J4)^-1 *(C7/F7)</f>
        <v>6714.0321726008178</v>
      </c>
      <c r="L7" s="2">
        <v>1.9999999999999999E-7</v>
      </c>
      <c r="M7">
        <f>L7/(F7*0.0000001*O7*0.0000001)</f>
        <v>14005.950685771921</v>
      </c>
      <c r="N7">
        <f>0.5/(K7+2*M7)</f>
        <v>1.4398461005069449E-5</v>
      </c>
      <c r="O7">
        <v>20</v>
      </c>
      <c r="P7" s="2">
        <f>0.00000000000885*18/0.000000007*F7*20*0.000000000000000001</f>
        <v>3.249639152344142E-17</v>
      </c>
    </row>
    <row r="8" spans="1:17" ht="16" x14ac:dyDescent="0.2">
      <c r="A8" s="13" t="s">
        <v>55</v>
      </c>
      <c r="B8" s="4" t="s">
        <v>34</v>
      </c>
      <c r="C8" t="s">
        <v>56</v>
      </c>
      <c r="H8" t="s">
        <v>62</v>
      </c>
      <c r="K8" s="1" t="s">
        <v>93</v>
      </c>
      <c r="O8" t="s">
        <v>91</v>
      </c>
    </row>
    <row r="9" spans="1:17" s="1" customFormat="1" ht="48" x14ac:dyDescent="0.2">
      <c r="A9" s="13"/>
      <c r="B9" s="5" t="s">
        <v>20</v>
      </c>
      <c r="C9" s="1" t="s">
        <v>85</v>
      </c>
      <c r="F9" s="1" t="s">
        <v>83</v>
      </c>
    </row>
    <row r="10" spans="1:17" x14ac:dyDescent="0.2">
      <c r="A10" s="13"/>
      <c r="B10" s="4" t="s">
        <v>32</v>
      </c>
      <c r="C10">
        <v>40</v>
      </c>
      <c r="F10">
        <f>PI()*Geometricals!D10</f>
        <v>62.831853071795862</v>
      </c>
      <c r="G10" s="8">
        <f>C10/Geometricals!H10</f>
        <v>2.8571428571428572</v>
      </c>
      <c r="H10">
        <v>25</v>
      </c>
      <c r="I10" s="2">
        <f>0.00000000000885*22/10000/0.000000007</f>
        <v>2.7814285714285717E-6</v>
      </c>
      <c r="J10">
        <v>1.2</v>
      </c>
      <c r="K10">
        <f>(H10*I10*J10)^-1 *(C10/F10)</f>
        <v>7629.4100437820061</v>
      </c>
      <c r="L10" s="2">
        <v>1.9999999999999999E-7</v>
      </c>
      <c r="M10" s="9">
        <f>L10/(PI()*Geometricals!D10^2*0.00000000000001/4)</f>
        <v>63661.977236758132</v>
      </c>
      <c r="N10" s="9">
        <f>0.5/(K10+2*M10)</f>
        <v>3.7049835829466127E-6</v>
      </c>
      <c r="O10">
        <v>10</v>
      </c>
      <c r="P10" s="2">
        <f>I10*F10*O10*0.00000000000001</f>
        <v>1.7476231132969508E-17</v>
      </c>
    </row>
  </sheetData>
  <mergeCells count="3">
    <mergeCell ref="A2:A4"/>
    <mergeCell ref="A5:A7"/>
    <mergeCell ref="A8:A10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523D0-A6BD-4147-A66C-21B8748C7F0D}">
  <dimension ref="A1:G30"/>
  <sheetViews>
    <sheetView tabSelected="1" workbookViewId="0">
      <selection activeCell="A7" sqref="A7:A8"/>
    </sheetView>
  </sheetViews>
  <sheetFormatPr baseColWidth="10" defaultRowHeight="15" x14ac:dyDescent="0.2"/>
  <cols>
    <col min="1" max="1" width="17.6640625" style="14" customWidth="1"/>
    <col min="2" max="4" width="10.83203125" style="14"/>
    <col min="5" max="5" width="11.83203125" style="14" bestFit="1" customWidth="1"/>
    <col min="6" max="6" width="12" style="14" bestFit="1" customWidth="1"/>
    <col min="7" max="16384" width="10.83203125" style="14"/>
  </cols>
  <sheetData>
    <row r="1" spans="1:7" x14ac:dyDescent="0.2">
      <c r="B1" s="14" t="s">
        <v>122</v>
      </c>
      <c r="C1" s="14" t="s">
        <v>123</v>
      </c>
      <c r="D1" s="14" t="s">
        <v>124</v>
      </c>
      <c r="E1" s="14" t="s">
        <v>130</v>
      </c>
      <c r="F1" s="14" t="s">
        <v>139</v>
      </c>
      <c r="G1" s="14" t="s">
        <v>131</v>
      </c>
    </row>
    <row r="2" spans="1:7" x14ac:dyDescent="0.2">
      <c r="A2" s="14" t="s">
        <v>140</v>
      </c>
      <c r="B2" s="14" t="s">
        <v>125</v>
      </c>
      <c r="C2" s="14" t="s">
        <v>125</v>
      </c>
      <c r="D2" s="14" t="s">
        <v>126</v>
      </c>
      <c r="E2" s="14" t="s">
        <v>126</v>
      </c>
      <c r="F2" s="14" t="s">
        <v>126</v>
      </c>
    </row>
    <row r="3" spans="1:7" x14ac:dyDescent="0.2">
      <c r="A3" s="15" t="s">
        <v>141</v>
      </c>
    </row>
    <row r="4" spans="1:7" x14ac:dyDescent="0.2">
      <c r="A4" s="15"/>
    </row>
    <row r="5" spans="1:7" x14ac:dyDescent="0.2">
      <c r="A5" s="15" t="s">
        <v>142</v>
      </c>
    </row>
    <row r="6" spans="1:7" x14ac:dyDescent="0.2">
      <c r="A6" s="15"/>
    </row>
    <row r="7" spans="1:7" x14ac:dyDescent="0.2">
      <c r="A7" s="15" t="s">
        <v>127</v>
      </c>
    </row>
    <row r="8" spans="1:7" x14ac:dyDescent="0.2">
      <c r="A8" s="15"/>
    </row>
    <row r="9" spans="1:7" x14ac:dyDescent="0.2">
      <c r="A9" s="15" t="s">
        <v>128</v>
      </c>
    </row>
    <row r="10" spans="1:7" x14ac:dyDescent="0.2">
      <c r="A10" s="15"/>
    </row>
    <row r="11" spans="1:7" x14ac:dyDescent="0.2">
      <c r="A11" s="15" t="s">
        <v>129</v>
      </c>
    </row>
    <row r="12" spans="1:7" x14ac:dyDescent="0.2">
      <c r="A12" s="15"/>
    </row>
    <row r="13" spans="1:7" x14ac:dyDescent="0.2">
      <c r="A13" s="15" t="s">
        <v>132</v>
      </c>
    </row>
    <row r="14" spans="1:7" x14ac:dyDescent="0.2">
      <c r="A14" s="15"/>
    </row>
    <row r="15" spans="1:7" x14ac:dyDescent="0.2">
      <c r="A15" s="15" t="s">
        <v>133</v>
      </c>
    </row>
    <row r="16" spans="1:7" x14ac:dyDescent="0.2">
      <c r="A16" s="15"/>
    </row>
    <row r="17" spans="1:1" x14ac:dyDescent="0.2">
      <c r="A17" s="15" t="s">
        <v>134</v>
      </c>
    </row>
    <row r="18" spans="1:1" x14ac:dyDescent="0.2">
      <c r="A18" s="15"/>
    </row>
    <row r="19" spans="1:1" x14ac:dyDescent="0.2">
      <c r="A19" s="15" t="s">
        <v>135</v>
      </c>
    </row>
    <row r="20" spans="1:1" x14ac:dyDescent="0.2">
      <c r="A20" s="15"/>
    </row>
    <row r="21" spans="1:1" x14ac:dyDescent="0.2">
      <c r="A21" s="15" t="s">
        <v>138</v>
      </c>
    </row>
    <row r="22" spans="1:1" x14ac:dyDescent="0.2">
      <c r="A22" s="15"/>
    </row>
    <row r="23" spans="1:1" x14ac:dyDescent="0.2">
      <c r="A23" s="15" t="s">
        <v>101</v>
      </c>
    </row>
    <row r="24" spans="1:1" x14ac:dyDescent="0.2">
      <c r="A24" s="15"/>
    </row>
    <row r="25" spans="1:1" x14ac:dyDescent="0.2">
      <c r="A25" s="15" t="s">
        <v>58</v>
      </c>
    </row>
    <row r="26" spans="1:1" x14ac:dyDescent="0.2">
      <c r="A26" s="15"/>
    </row>
    <row r="27" spans="1:1" x14ac:dyDescent="0.2">
      <c r="A27" s="15" t="s">
        <v>136</v>
      </c>
    </row>
    <row r="28" spans="1:1" x14ac:dyDescent="0.2">
      <c r="A28" s="15"/>
    </row>
    <row r="29" spans="1:1" x14ac:dyDescent="0.2">
      <c r="A29" s="15" t="s">
        <v>137</v>
      </c>
    </row>
    <row r="30" spans="1:1" x14ac:dyDescent="0.2">
      <c r="A30" s="15"/>
    </row>
  </sheetData>
  <mergeCells count="14">
    <mergeCell ref="A17:A18"/>
    <mergeCell ref="A19:A20"/>
    <mergeCell ref="A21:A22"/>
    <mergeCell ref="A25:A26"/>
    <mergeCell ref="A27:A28"/>
    <mergeCell ref="A29:A30"/>
    <mergeCell ref="A23:A24"/>
    <mergeCell ref="A3:A4"/>
    <mergeCell ref="A7:A8"/>
    <mergeCell ref="A9:A10"/>
    <mergeCell ref="A11:A12"/>
    <mergeCell ref="A13:A14"/>
    <mergeCell ref="A15:A16"/>
    <mergeCell ref="A5:A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Geometricals</vt:lpstr>
      <vt:lpstr>FinFET</vt:lpstr>
      <vt:lpstr>Vertical1 - ChanWrap</vt:lpstr>
      <vt:lpstr>Vertical2 - GateWrap</vt:lpstr>
      <vt:lpstr>Electricals</vt:lpstr>
      <vt:lpstr>Sheet1</vt:lpstr>
    </vt:vector>
  </TitlesOfParts>
  <Company>Intel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Sharma, Abhishek A</dc:creator>
  <cp:keywords>CTPClassification=CTP_NT</cp:keywords>
  <cp:lastModifiedBy>Microsoft Office User</cp:lastModifiedBy>
  <dcterms:created xsi:type="dcterms:W3CDTF">2019-09-04T16:08:34Z</dcterms:created>
  <dcterms:modified xsi:type="dcterms:W3CDTF">2019-09-11T21:26:10Z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a9332861-7240-4fef-bad0-d17a1e8ad068</vt:lpwstr>
  </property>
  <property fmtid="{D5CDD505-2E9C-101B-9397-08002B2CF9AE}" pid="3" name="CTP_TimeStamp">
    <vt:lpwstr>2019-09-11 02:54:51Z</vt:lpwstr>
  </property>
  <property fmtid="{D5CDD505-2E9C-101B-9397-08002B2CF9AE}" pid="4" name="CTP_BU">
    <vt:lpwstr>NA</vt:lpwstr>
  </property>
  <property fmtid="{D5CDD505-2E9C-101B-9397-08002B2CF9AE}" pid="5" name="CTP_IDSID">
    <vt:lpwstr>NA</vt:lpwstr>
  </property>
  <property fmtid="{D5CDD505-2E9C-101B-9397-08002B2CF9AE}" pid="6" name="CTP_WWID">
    <vt:lpwstr>NA</vt:lpwstr>
  </property>
  <property fmtid="{D5CDD505-2E9C-101B-9397-08002B2CF9AE}" pid="7" name="CTPClassification">
    <vt:lpwstr>CTP_NT</vt:lpwstr>
  </property>
</Properties>
</file>