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Memory Technology/"/>
    </mc:Choice>
  </mc:AlternateContent>
  <xr:revisionPtr revIDLastSave="1719" documentId="8_{4825BB88-9D03-8D4B-94E4-25C04618EB77}" xr6:coauthVersionLast="47" xr6:coauthVersionMax="47" xr10:uidLastSave="{B86A2E60-E3EA-544D-B7C3-FADFB24E7027}"/>
  <bookViews>
    <workbookView xWindow="0" yWindow="500" windowWidth="25600" windowHeight="15500" activeTab="3" xr2:uid="{F6C51245-7F32-5643-84AD-032D750060EF}"/>
  </bookViews>
  <sheets>
    <sheet name="From Jeff" sheetId="1" r:id="rId1"/>
    <sheet name="PPA and Sram" sheetId="2" r:id="rId2"/>
    <sheet name="HD SRAM" sheetId="3" r:id="rId3"/>
    <sheet name="FinFET HD SRAM " sheetId="5" r:id="rId4"/>
    <sheet name="SRAM Pie Chart 1" sheetId="6" r:id="rId5"/>
    <sheet name="SRAM Chart 2" sheetId="8" r:id="rId6"/>
    <sheet name="N6 die pricing" sheetId="9" r:id="rId7"/>
    <sheet name="2.3D with Emb Brdg" sheetId="7" r:id="rId8"/>
  </sheets>
  <externalReferences>
    <externalReference r:id="rId9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7" l="1"/>
  <c r="T4" i="7"/>
  <c r="S4" i="7"/>
  <c r="R4" i="7"/>
  <c r="Q4" i="7"/>
  <c r="R3" i="7"/>
  <c r="S3" i="7"/>
  <c r="T3" i="7"/>
  <c r="U3" i="7"/>
  <c r="U2" i="7"/>
  <c r="T2" i="7"/>
  <c r="S2" i="7"/>
  <c r="R2" i="7"/>
  <c r="Q3" i="7"/>
  <c r="Q2" i="7"/>
  <c r="G4" i="8"/>
  <c r="F4" i="8"/>
  <c r="E4" i="8"/>
  <c r="D4" i="8"/>
  <c r="C4" i="8"/>
  <c r="B4" i="8"/>
  <c r="E3" i="8"/>
  <c r="E22" i="8" s="1"/>
  <c r="G3" i="8"/>
  <c r="G22" i="8" s="1"/>
  <c r="C3" i="8"/>
  <c r="C15" i="8"/>
  <c r="E13" i="8"/>
  <c r="D13" i="8"/>
  <c r="B24" i="8"/>
  <c r="B21" i="8"/>
  <c r="E24" i="8"/>
  <c r="I3" i="8"/>
  <c r="I2" i="8"/>
  <c r="F14" i="8"/>
  <c r="E15" i="8"/>
  <c r="G26" i="8"/>
  <c r="F26" i="8"/>
  <c r="E26" i="8"/>
  <c r="D26" i="8"/>
  <c r="G25" i="8"/>
  <c r="D25" i="8"/>
  <c r="C25" i="8"/>
  <c r="B25" i="8"/>
  <c r="G24" i="8"/>
  <c r="D24" i="8"/>
  <c r="C24" i="8"/>
  <c r="G23" i="8"/>
  <c r="F23" i="8"/>
  <c r="E23" i="8"/>
  <c r="D23" i="8"/>
  <c r="C23" i="8"/>
  <c r="B23" i="8"/>
  <c r="M25" i="8"/>
  <c r="M24" i="8"/>
  <c r="H30" i="9"/>
  <c r="I30" i="9"/>
  <c r="E30" i="9"/>
  <c r="H29" i="9"/>
  <c r="I29" i="9"/>
  <c r="E29" i="9"/>
  <c r="H28" i="9"/>
  <c r="I28" i="9"/>
  <c r="E28" i="9"/>
  <c r="D27" i="9"/>
  <c r="B27" i="9"/>
  <c r="H24" i="9"/>
  <c r="E24" i="9"/>
  <c r="C24" i="9"/>
  <c r="I24" i="9"/>
  <c r="L20" i="9"/>
  <c r="J20" i="9"/>
  <c r="K17" i="9"/>
  <c r="K19" i="9"/>
  <c r="J17" i="9"/>
  <c r="J18" i="9"/>
  <c r="H16" i="9"/>
  <c r="I16" i="9"/>
  <c r="E16" i="9"/>
  <c r="H15" i="9"/>
  <c r="I15" i="9"/>
  <c r="E15" i="9"/>
  <c r="H14" i="9"/>
  <c r="I14" i="9"/>
  <c r="E14" i="9"/>
  <c r="H12" i="9"/>
  <c r="E12" i="9"/>
  <c r="H11" i="9"/>
  <c r="E11" i="9"/>
  <c r="H10" i="9"/>
  <c r="E10" i="9"/>
  <c r="H8" i="9"/>
  <c r="E8" i="9"/>
  <c r="H7" i="9"/>
  <c r="E7" i="9"/>
  <c r="H6" i="9"/>
  <c r="E6" i="9"/>
  <c r="H4" i="9"/>
  <c r="E4" i="9"/>
  <c r="H3" i="9"/>
  <c r="E3" i="9"/>
  <c r="H2" i="9"/>
  <c r="E2" i="9"/>
  <c r="L17" i="9"/>
  <c r="G21" i="8"/>
  <c r="F21" i="8"/>
  <c r="E21" i="8"/>
  <c r="D21" i="8"/>
  <c r="C21" i="8"/>
  <c r="R8" i="7"/>
  <c r="R6" i="7"/>
  <c r="U9" i="7"/>
  <c r="U8" i="7"/>
  <c r="U7" i="7"/>
  <c r="U6" i="7"/>
  <c r="U5" i="7"/>
  <c r="N9" i="7"/>
  <c r="M9" i="7"/>
  <c r="T9" i="7"/>
  <c r="L9" i="7"/>
  <c r="K9" i="7"/>
  <c r="R9" i="7"/>
  <c r="J9" i="7"/>
  <c r="S9" i="7"/>
  <c r="N8" i="7"/>
  <c r="M8" i="7"/>
  <c r="L8" i="7"/>
  <c r="K8" i="7"/>
  <c r="N7" i="7"/>
  <c r="M7" i="7"/>
  <c r="L7" i="7"/>
  <c r="K7" i="7"/>
  <c r="N6" i="7"/>
  <c r="M6" i="7"/>
  <c r="T6" i="7"/>
  <c r="L6" i="7"/>
  <c r="S6" i="7"/>
  <c r="K6" i="7"/>
  <c r="N5" i="7"/>
  <c r="M5" i="7"/>
  <c r="L5" i="7"/>
  <c r="K5" i="7"/>
  <c r="R5" i="7"/>
  <c r="N4" i="7"/>
  <c r="M4" i="7"/>
  <c r="L4" i="7"/>
  <c r="K4" i="7"/>
  <c r="N3" i="7"/>
  <c r="M3" i="7"/>
  <c r="L3" i="7"/>
  <c r="K3" i="7"/>
  <c r="N2" i="7"/>
  <c r="M2" i="7"/>
  <c r="L2" i="7"/>
  <c r="K2" i="7"/>
  <c r="J8" i="7"/>
  <c r="J7" i="7"/>
  <c r="J6" i="7"/>
  <c r="J5" i="7"/>
  <c r="J4" i="7"/>
  <c r="J3" i="7"/>
  <c r="J2" i="7"/>
  <c r="G8" i="8"/>
  <c r="F8" i="8"/>
  <c r="E8" i="8"/>
  <c r="D8" i="8"/>
  <c r="C8" i="8"/>
  <c r="C26" i="8" s="1"/>
  <c r="B8" i="8"/>
  <c r="B26" i="8" s="1"/>
  <c r="G14" i="8"/>
  <c r="E14" i="8"/>
  <c r="D14" i="8"/>
  <c r="C14" i="8"/>
  <c r="B14" i="8"/>
  <c r="G13" i="8"/>
  <c r="F13" i="8"/>
  <c r="C13" i="8"/>
  <c r="F6" i="8"/>
  <c r="F24" i="8" s="1"/>
  <c r="E6" i="8"/>
  <c r="F5" i="8"/>
  <c r="E5" i="8"/>
  <c r="F12" i="8"/>
  <c r="F7" i="8" s="1"/>
  <c r="F25" i="8" s="1"/>
  <c r="E12" i="8"/>
  <c r="E7" i="8" s="1"/>
  <c r="E25" i="8" s="1"/>
  <c r="G9" i="8"/>
  <c r="F9" i="8"/>
  <c r="D9" i="8"/>
  <c r="D15" i="8" s="1"/>
  <c r="C9" i="8"/>
  <c r="E11" i="8"/>
  <c r="Y3" i="8"/>
  <c r="Y6" i="8"/>
  <c r="Y8" i="8"/>
  <c r="Y9" i="8"/>
  <c r="S11" i="8"/>
  <c r="X2" i="8" s="1"/>
  <c r="B11" i="8"/>
  <c r="B13" i="8" s="1"/>
  <c r="AI9" i="8"/>
  <c r="AD9" i="8"/>
  <c r="AC9" i="8"/>
  <c r="AI8" i="8"/>
  <c r="AD8" i="8"/>
  <c r="AC8" i="8"/>
  <c r="AB8" i="8"/>
  <c r="AA8" i="8"/>
  <c r="Z8" i="8"/>
  <c r="S7" i="8"/>
  <c r="AI7" i="8"/>
  <c r="AD7" i="8"/>
  <c r="AB7" i="8"/>
  <c r="AA7" i="8"/>
  <c r="Z7" i="8"/>
  <c r="X7" i="8"/>
  <c r="AC7" i="8" s="1"/>
  <c r="AI6" i="8"/>
  <c r="AD6" i="8"/>
  <c r="AC6" i="8"/>
  <c r="AI3" i="8"/>
  <c r="AD3" i="8"/>
  <c r="AC3" i="8"/>
  <c r="AI2" i="8"/>
  <c r="AD2" i="8"/>
  <c r="M2" i="6"/>
  <c r="J6" i="6"/>
  <c r="J5" i="6"/>
  <c r="I6" i="6"/>
  <c r="I5" i="6"/>
  <c r="H6" i="6"/>
  <c r="H5" i="6"/>
  <c r="Q9" i="7"/>
  <c r="T5" i="7"/>
  <c r="S5" i="7"/>
  <c r="Q5" i="7"/>
  <c r="Q6" i="7"/>
  <c r="T8" i="7"/>
  <c r="S8" i="7"/>
  <c r="Q8" i="7"/>
  <c r="T7" i="7"/>
  <c r="S7" i="7"/>
  <c r="R7" i="7"/>
  <c r="Q7" i="7"/>
  <c r="AB9" i="6"/>
  <c r="F2" i="6"/>
  <c r="AB5" i="6"/>
  <c r="E9" i="8"/>
  <c r="AE8" i="8"/>
  <c r="G15" i="8"/>
  <c r="F15" i="8" s="1"/>
  <c r="AE6" i="8"/>
  <c r="AE3" i="8"/>
  <c r="AE9" i="8"/>
  <c r="K7" i="6"/>
  <c r="L7" i="6"/>
  <c r="Q7" i="6"/>
  <c r="G7" i="6"/>
  <c r="K6" i="6"/>
  <c r="L6" i="6"/>
  <c r="Q6" i="6"/>
  <c r="G6" i="6"/>
  <c r="L2" i="6"/>
  <c r="Q2" i="6"/>
  <c r="K2" i="6"/>
  <c r="L5" i="6"/>
  <c r="Q5" i="6"/>
  <c r="F5" i="6"/>
  <c r="G5" i="6"/>
  <c r="K4" i="6"/>
  <c r="L4" i="6"/>
  <c r="Q4" i="6"/>
  <c r="G4" i="6"/>
  <c r="K3" i="6"/>
  <c r="L3" i="6"/>
  <c r="Q3" i="6"/>
  <c r="G3" i="6"/>
  <c r="M3" i="6"/>
  <c r="I23" i="5"/>
  <c r="I22" i="5"/>
  <c r="I21" i="5"/>
  <c r="I20" i="5"/>
  <c r="I19" i="5"/>
  <c r="I18" i="5"/>
  <c r="I16" i="5"/>
  <c r="I15" i="5"/>
  <c r="I14" i="5"/>
  <c r="I13" i="5"/>
  <c r="I12" i="5"/>
  <c r="I11" i="5"/>
  <c r="I9" i="5"/>
  <c r="I8" i="5"/>
  <c r="I7" i="5"/>
  <c r="I6" i="5"/>
  <c r="I5" i="5"/>
  <c r="I4" i="5"/>
  <c r="I3" i="5"/>
  <c r="I2" i="5"/>
  <c r="K5" i="5"/>
  <c r="K4" i="5"/>
  <c r="K22" i="5"/>
  <c r="K20" i="5"/>
  <c r="K9" i="5"/>
  <c r="H23" i="5"/>
  <c r="H22" i="5"/>
  <c r="H21" i="5"/>
  <c r="H20" i="5"/>
  <c r="H19" i="5"/>
  <c r="H18" i="5"/>
  <c r="H16" i="5"/>
  <c r="H15" i="5"/>
  <c r="H14" i="5"/>
  <c r="H13" i="5"/>
  <c r="H12" i="5"/>
  <c r="H11" i="5"/>
  <c r="H9" i="5"/>
  <c r="H8" i="5"/>
  <c r="H7" i="5"/>
  <c r="H6" i="5"/>
  <c r="H5" i="5"/>
  <c r="H4" i="5"/>
  <c r="H3" i="5"/>
  <c r="H2" i="5"/>
  <c r="F11" i="5"/>
  <c r="K11" i="5"/>
  <c r="G5" i="5"/>
  <c r="J5" i="5"/>
  <c r="F7" i="5"/>
  <c r="K7" i="5"/>
  <c r="G22" i="5"/>
  <c r="J22" i="5"/>
  <c r="G20" i="5"/>
  <c r="L21" i="5"/>
  <c r="O21" i="5"/>
  <c r="G9" i="5"/>
  <c r="G4" i="5"/>
  <c r="J4" i="5"/>
  <c r="Y23" i="5"/>
  <c r="AA23" i="5"/>
  <c r="L20" i="5"/>
  <c r="O20" i="5"/>
  <c r="D20" i="3"/>
  <c r="V52" i="2"/>
  <c r="V50" i="2"/>
  <c r="V48" i="2"/>
  <c r="V46" i="2"/>
  <c r="V34" i="2"/>
  <c r="V32" i="2"/>
  <c r="V30" i="2"/>
  <c r="V28" i="2"/>
  <c r="V26" i="2"/>
  <c r="V24" i="2"/>
  <c r="V18" i="2"/>
  <c r="V16" i="2"/>
  <c r="V12" i="2"/>
  <c r="V14" i="2"/>
  <c r="Q14" i="2"/>
  <c r="V10" i="2"/>
  <c r="Q8" i="2"/>
  <c r="V8" i="2"/>
  <c r="V4" i="2"/>
  <c r="V6" i="2"/>
  <c r="AJ2" i="2"/>
  <c r="T53" i="2"/>
  <c r="S53" i="2"/>
  <c r="P53" i="2"/>
  <c r="T52" i="2"/>
  <c r="S52" i="2"/>
  <c r="Q52" i="2"/>
  <c r="P52" i="2"/>
  <c r="T51" i="2"/>
  <c r="S51" i="2"/>
  <c r="P51" i="2"/>
  <c r="T50" i="2"/>
  <c r="S50" i="2"/>
  <c r="Q50" i="2"/>
  <c r="P50" i="2"/>
  <c r="T49" i="2"/>
  <c r="S49" i="2"/>
  <c r="P49" i="2"/>
  <c r="T48" i="2"/>
  <c r="S48" i="2"/>
  <c r="Q48" i="2"/>
  <c r="P48" i="2"/>
  <c r="T47" i="2"/>
  <c r="S47" i="2"/>
  <c r="P47" i="2"/>
  <c r="T46" i="2"/>
  <c r="S46" i="2"/>
  <c r="Q46" i="2"/>
  <c r="P46" i="2"/>
  <c r="T45" i="2"/>
  <c r="S45" i="2"/>
  <c r="P45" i="2"/>
  <c r="T44" i="2"/>
  <c r="S44" i="2"/>
  <c r="Q44" i="2"/>
  <c r="P44" i="2"/>
  <c r="T43" i="2"/>
  <c r="S43" i="2"/>
  <c r="P43" i="2"/>
  <c r="T42" i="2"/>
  <c r="S42" i="2"/>
  <c r="Q42" i="2"/>
  <c r="P42" i="2"/>
  <c r="T35" i="2"/>
  <c r="S35" i="2"/>
  <c r="P35" i="2"/>
  <c r="T34" i="2"/>
  <c r="S34" i="2"/>
  <c r="Q34" i="2"/>
  <c r="P34" i="2"/>
  <c r="T33" i="2"/>
  <c r="S33" i="2"/>
  <c r="P33" i="2"/>
  <c r="T32" i="2"/>
  <c r="S32" i="2"/>
  <c r="Q32" i="2"/>
  <c r="P32" i="2"/>
  <c r="T31" i="2"/>
  <c r="S31" i="2"/>
  <c r="P31" i="2"/>
  <c r="T30" i="2"/>
  <c r="S30" i="2"/>
  <c r="Q30" i="2"/>
  <c r="P30" i="2"/>
  <c r="T29" i="2"/>
  <c r="S29" i="2"/>
  <c r="P29" i="2"/>
  <c r="T28" i="2"/>
  <c r="S28" i="2"/>
  <c r="Q28" i="2"/>
  <c r="P28" i="2"/>
  <c r="T27" i="2"/>
  <c r="S27" i="2"/>
  <c r="P27" i="2"/>
  <c r="T26" i="2"/>
  <c r="S26" i="2"/>
  <c r="Q26" i="2"/>
  <c r="P26" i="2"/>
  <c r="T25" i="2"/>
  <c r="S25" i="2"/>
  <c r="P25" i="2"/>
  <c r="T24" i="2"/>
  <c r="S24" i="2"/>
  <c r="Q24" i="2"/>
  <c r="P24" i="2"/>
  <c r="T21" i="2"/>
  <c r="S21" i="2"/>
  <c r="P21" i="2"/>
  <c r="AR16" i="2"/>
  <c r="AR25" i="2"/>
  <c r="AN16" i="2"/>
  <c r="AN17" i="2"/>
  <c r="T20" i="2"/>
  <c r="S20" i="2"/>
  <c r="Q20" i="2"/>
  <c r="P20" i="2"/>
  <c r="T19" i="2"/>
  <c r="S19" i="2"/>
  <c r="P19" i="2"/>
  <c r="AN14" i="2"/>
  <c r="AN15" i="2"/>
  <c r="T18" i="2"/>
  <c r="S18" i="2"/>
  <c r="Q18" i="2"/>
  <c r="P18" i="2"/>
  <c r="T17" i="2"/>
  <c r="S17" i="2"/>
  <c r="P17" i="2"/>
  <c r="T16" i="2"/>
  <c r="S16" i="2"/>
  <c r="Q16" i="2"/>
  <c r="P16" i="2"/>
  <c r="T13" i="2"/>
  <c r="S13" i="2"/>
  <c r="P13" i="2"/>
  <c r="AM10" i="2"/>
  <c r="AM11" i="2"/>
  <c r="T12" i="2"/>
  <c r="S12" i="2"/>
  <c r="Q12" i="2"/>
  <c r="P12" i="2"/>
  <c r="AR9" i="2"/>
  <c r="U28" i="2"/>
  <c r="T11" i="2"/>
  <c r="S11" i="2"/>
  <c r="P11" i="2"/>
  <c r="AR8" i="2"/>
  <c r="U26" i="2"/>
  <c r="T10" i="2"/>
  <c r="S10" i="2"/>
  <c r="Q10" i="2"/>
  <c r="P10" i="2"/>
  <c r="AR7" i="2"/>
  <c r="T7" i="2"/>
  <c r="S7" i="2"/>
  <c r="P7" i="2"/>
  <c r="AR6" i="2"/>
  <c r="U24" i="2"/>
  <c r="T6" i="2"/>
  <c r="S6" i="2"/>
  <c r="Q6" i="2"/>
  <c r="P6" i="2"/>
  <c r="T5" i="2"/>
  <c r="S5" i="2"/>
  <c r="P5" i="2"/>
  <c r="T4" i="2"/>
  <c r="S4" i="2"/>
  <c r="Q4" i="2"/>
  <c r="P4" i="2"/>
  <c r="Z59" i="1"/>
  <c r="Y59" i="1"/>
  <c r="X59" i="1"/>
  <c r="T59" i="1"/>
  <c r="S59" i="1"/>
  <c r="R59" i="1"/>
  <c r="Q59" i="1"/>
  <c r="P59" i="1"/>
  <c r="O59" i="1"/>
  <c r="N59" i="1"/>
  <c r="M59" i="1"/>
  <c r="I59" i="1"/>
  <c r="H59" i="1"/>
  <c r="G59" i="1"/>
  <c r="F59" i="1"/>
  <c r="AA58" i="1"/>
  <c r="Z58" i="1"/>
  <c r="Y58" i="1"/>
  <c r="X58" i="1"/>
  <c r="T58" i="1"/>
  <c r="S58" i="1"/>
  <c r="R58" i="1"/>
  <c r="P58" i="1"/>
  <c r="O58" i="1"/>
  <c r="N58" i="1"/>
  <c r="M58" i="1"/>
  <c r="L58" i="1"/>
  <c r="K58" i="1"/>
  <c r="J58" i="1"/>
  <c r="I58" i="1"/>
  <c r="H58" i="1"/>
  <c r="G58" i="1"/>
  <c r="F58" i="1"/>
  <c r="AA57" i="1"/>
  <c r="Z57" i="1"/>
  <c r="Y57" i="1"/>
  <c r="X57" i="1"/>
  <c r="T57" i="1"/>
  <c r="S57" i="1"/>
  <c r="R57" i="1"/>
  <c r="P57" i="1"/>
  <c r="O57" i="1"/>
  <c r="N57" i="1"/>
  <c r="M57" i="1"/>
  <c r="L57" i="1"/>
  <c r="K57" i="1"/>
  <c r="J57" i="1"/>
  <c r="I57" i="1"/>
  <c r="H57" i="1"/>
  <c r="G57" i="1"/>
  <c r="F57" i="1"/>
  <c r="Q56" i="1"/>
  <c r="Q55" i="1"/>
  <c r="Q58" i="1"/>
  <c r="Q54" i="1"/>
  <c r="Q57" i="1"/>
  <c r="AA48" i="1"/>
  <c r="Y48" i="1"/>
  <c r="X48" i="1"/>
  <c r="W48" i="1"/>
  <c r="V48" i="1"/>
  <c r="R48" i="1"/>
  <c r="P48" i="1"/>
  <c r="N48" i="1"/>
  <c r="M48" i="1"/>
  <c r="L48" i="1"/>
  <c r="K48" i="1"/>
  <c r="J48" i="1"/>
  <c r="G48" i="1"/>
  <c r="T46" i="1"/>
  <c r="T48" i="1"/>
  <c r="S46" i="1"/>
  <c r="S48" i="1"/>
  <c r="Q46" i="1"/>
  <c r="Q48" i="1"/>
  <c r="AA40" i="1"/>
  <c r="AA39" i="1"/>
  <c r="AA38" i="1"/>
  <c r="Z38" i="1"/>
  <c r="Y38" i="1"/>
  <c r="X38" i="1"/>
  <c r="W38" i="1"/>
  <c r="V38" i="1"/>
  <c r="R38" i="1"/>
  <c r="P38" i="1"/>
  <c r="O38" i="1"/>
  <c r="N38" i="1"/>
  <c r="M38" i="1"/>
  <c r="L38" i="1"/>
  <c r="K38" i="1"/>
  <c r="J38" i="1"/>
  <c r="I38" i="1"/>
  <c r="H38" i="1"/>
  <c r="G38" i="1"/>
  <c r="F38" i="1"/>
  <c r="T36" i="1"/>
  <c r="T38" i="1"/>
  <c r="S36" i="1"/>
  <c r="S38" i="1"/>
  <c r="Q36" i="1"/>
  <c r="Q38" i="1"/>
  <c r="AA28" i="1"/>
  <c r="Z28" i="1"/>
  <c r="Y28" i="1"/>
  <c r="X28" i="1"/>
  <c r="W28" i="1"/>
  <c r="V28" i="1"/>
  <c r="T28" i="1"/>
  <c r="R28" i="1"/>
  <c r="P28" i="1"/>
  <c r="O28" i="1"/>
  <c r="N28" i="1"/>
  <c r="M28" i="1"/>
  <c r="L28" i="1"/>
  <c r="K28" i="1"/>
  <c r="J28" i="1"/>
  <c r="I28" i="1"/>
  <c r="H28" i="1"/>
  <c r="G28" i="1"/>
  <c r="F28" i="1"/>
  <c r="T26" i="1"/>
  <c r="S26" i="1"/>
  <c r="S28" i="1"/>
  <c r="Q26" i="1"/>
  <c r="Q28" i="1"/>
  <c r="P19" i="1"/>
  <c r="Y19" i="1"/>
  <c r="J19" i="1"/>
  <c r="I19" i="1"/>
  <c r="H19" i="1"/>
  <c r="G19" i="1"/>
  <c r="F19" i="1"/>
  <c r="P15" i="1"/>
  <c r="S15" i="1"/>
  <c r="O15" i="1"/>
  <c r="O19" i="1"/>
  <c r="N15" i="1"/>
  <c r="J14" i="1"/>
  <c r="K14" i="1"/>
  <c r="L14" i="1"/>
  <c r="L19" i="1"/>
  <c r="M7" i="6"/>
  <c r="M6" i="6"/>
  <c r="K5" i="6"/>
  <c r="M5" i="6"/>
  <c r="M4" i="6"/>
  <c r="G2" i="6"/>
  <c r="J9" i="5"/>
  <c r="G11" i="5"/>
  <c r="J11" i="5"/>
  <c r="G7" i="5"/>
  <c r="J7" i="5"/>
  <c r="J20" i="5"/>
  <c r="X19" i="1"/>
  <c r="Z19" i="1"/>
  <c r="V19" i="1"/>
  <c r="S19" i="1"/>
  <c r="U15" i="1"/>
  <c r="U19" i="1"/>
  <c r="T15" i="1"/>
  <c r="T19" i="1"/>
  <c r="M19" i="1"/>
  <c r="Q15" i="1"/>
  <c r="R15" i="1"/>
  <c r="R19" i="1"/>
  <c r="N19" i="1"/>
  <c r="U27" i="2"/>
  <c r="AN19" i="2"/>
  <c r="AN20" i="2"/>
  <c r="AR20" i="2"/>
  <c r="U18" i="2"/>
  <c r="U10" i="2"/>
  <c r="AR15" i="2"/>
  <c r="U11" i="2"/>
  <c r="AR13" i="2"/>
  <c r="AR11" i="2"/>
  <c r="AM12" i="2"/>
  <c r="AR12" i="2"/>
  <c r="AN18" i="2"/>
  <c r="AR18" i="2"/>
  <c r="AR17" i="2"/>
  <c r="AR27" i="2"/>
  <c r="AR24" i="2"/>
  <c r="U48" i="2"/>
  <c r="U49" i="2"/>
  <c r="AR22" i="2"/>
  <c r="AR23" i="2"/>
  <c r="AR26" i="2"/>
  <c r="AR14" i="2"/>
  <c r="AR10" i="2"/>
  <c r="U29" i="2"/>
  <c r="U25" i="2"/>
  <c r="K19" i="1"/>
  <c r="AA19" i="1"/>
  <c r="W19" i="1"/>
  <c r="Q19" i="1"/>
  <c r="U19" i="2"/>
  <c r="AR19" i="2"/>
  <c r="AN21" i="2"/>
  <c r="AR21" i="2"/>
  <c r="U21" i="2"/>
  <c r="U5" i="2"/>
  <c r="U4" i="2"/>
  <c r="U31" i="2"/>
  <c r="U30" i="2"/>
  <c r="U47" i="2"/>
  <c r="U46" i="2"/>
  <c r="U7" i="2"/>
  <c r="U6" i="2"/>
  <c r="U53" i="2"/>
  <c r="U52" i="2"/>
  <c r="U16" i="2"/>
  <c r="U17" i="2"/>
  <c r="U12" i="2"/>
  <c r="U13" i="2"/>
  <c r="U51" i="2"/>
  <c r="U50" i="2"/>
  <c r="U44" i="2"/>
  <c r="U45" i="2"/>
  <c r="U34" i="2"/>
  <c r="U35" i="2"/>
  <c r="U42" i="2"/>
  <c r="U43" i="2"/>
  <c r="U32" i="2"/>
  <c r="U33" i="2"/>
  <c r="U20" i="2"/>
  <c r="D3" i="8" l="1"/>
  <c r="D22" i="8" s="1"/>
  <c r="Y2" i="8"/>
  <c r="AE2" i="8" s="1"/>
  <c r="AC2" i="8"/>
  <c r="B3" i="8"/>
  <c r="B22" i="8" s="1"/>
  <c r="Y7" i="8"/>
  <c r="AE7" i="8" s="1"/>
  <c r="B9" i="8"/>
  <c r="B15" i="8" s="1"/>
  <c r="F3" i="8"/>
  <c r="F22" i="8" s="1"/>
  <c r="C2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tc={F5AB72E6-6DE4-5F44-8BEE-39863C6E92B6}</author>
    <author>tc={96FCFE3A-2577-0849-8CDC-9AEC114385FB}</author>
    <author>tc={A2167B47-FBE0-3A42-8D22-76C7996C4525}</author>
    <author>tc={A472A920-0A91-8547-9D48-ABFB1A4C6800}</author>
    <author>tc={D5904576-6FB6-9B48-BBC2-3A158CA96407}</author>
    <author>tc={DE6AD04A-EEA4-8446-B313-15D86E6D11DE}</author>
    <author>tc={94CD2CEA-1AD3-2F45-8F58-6196CAEE5CFD}</author>
    <author>tc={979C39FB-1D8F-164D-956F-3C00B2ED2608}</author>
    <author>tc={113C71E5-52EB-234D-B91B-5FCDD812B6AF}</author>
    <author>tc={3B6B9596-BB99-1F4D-9CD2-C8EBBFF18C8E}</author>
    <author>tc={D16FF65B-F4BF-9745-992B-3724462F7060}</author>
    <author>tc={0B5FB360-500C-A54F-9BE0-F987E849EF27}</author>
    <author>tc={092A81BA-94A2-4449-9DD6-915F6F7D5AA3}</author>
    <author>tc={E4FB9F62-39AB-8044-9B50-2C7CE29711D3}</author>
    <author>tc={84748FF4-76F8-8543-980A-E690BDD94CEA}</author>
    <author>tc={13FE9879-222A-0D4F-BAAD-96B9D3E16F39}</author>
    <author>tc={CE068A67-9B93-EF45-B489-18C7CED7A75D}</author>
    <author>tc={92FBEA39-022A-5246-A55F-9078C6B01ED3}</author>
    <author>tc={2B4ECADE-4D8B-7C48-90E4-6971FD6EA8C7}</author>
    <author>tc={233716C5-0E59-6740-B0FB-970848A448BC}</author>
    <author>tc={26341FD6-0DBE-874E-B3D6-16A4A54B23EA}</author>
    <author>tc={1E03A367-595C-0E4A-B2A2-4F60A86AF7A5}</author>
    <author>tc={7465D50B-D1C4-C64C-932F-AF4E99CBDC6B}</author>
    <author>tc={7A336D85-D138-0E4B-BE37-AA6805185D03}</author>
    <author>tc={3F914B6F-5EEA-0C40-A239-6782AC506FAE}</author>
    <author>tc={F610AD18-76AB-4049-A55D-6E778A04D400}</author>
    <author>tc={B11216A5-C9FF-7E46-A79C-3AC4DB4082AE}</author>
    <author>tc={537F1F22-7F33-E545-941F-C8AACBCEC954}</author>
    <author>tc={EEF610A6-10BB-8144-A7A0-BCEF2F0A9926}</author>
    <author>tc={32A9BBC0-524B-2C49-AFE7-1CAECE418FC1}</author>
    <author>tc={6E52CE89-5BF1-6E48-AACA-03D02B4311F2}</author>
    <author>tc={4C5F775D-362B-194E-8533-52168D2F5143}</author>
    <author>tc={815D7BD4-DF40-8F43-8333-B2725F337DE5}</author>
    <author>tc={D6141F0D-0CF7-A44B-92F8-39001F90B0C6}</author>
    <author>tc={577926B4-B879-F64E-9602-337C7471CADC}</author>
    <author>tc={0C2616F4-19C4-3442-8429-F60599A94995}</author>
    <author>tc={978542A9-84B8-4240-BBC9-F115D93C42E8}</author>
    <author>tc={CD9BDFDF-6EE5-E244-AA63-325AF5CD7FA1}</author>
  </authors>
  <commentList>
    <comment ref="U6" authorId="0" shapeId="0" xr:uid="{F5AB72E6-6DE4-5F44-8BEE-39863C6E92B6}">
      <text>
        <t>[Threaded comment]
Your version of Excel allows you to read this threaded comment; however, any edits to it will get removed if the file is opened in a newer version of Excel. Learn more: https://go.microsoft.com/fwlink/?linkid=870924
Comment:
    Projected date; not confirmed by TSMC</t>
      </text>
    </comment>
    <comment ref="K7" authorId="1" shapeId="0" xr:uid="{96FCFE3A-2577-0849-8CDC-9AEC114385FB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yet defined yet on DEPortal; assume 1Q after PDK V0.9 which is ~Q3'23</t>
      </text>
    </comment>
    <comment ref="U8" authorId="2" shapeId="0" xr:uid="{A2167B47-FBE0-3A42-8D22-76C7996C4525}">
      <text>
        <t>[Threaded comment]
Your version of Excel allows you to read this threaded comment; however, any edits to it will get removed if the file is opened in a newer version of Excel. Learn more: https://go.microsoft.com/fwlink/?linkid=870924
Comment:
    Projected date; not confirmed by TSMC</t>
      </text>
    </comment>
    <comment ref="U9" authorId="3" shapeId="0" xr:uid="{A472A920-0A91-8547-9D48-ABFB1A4C6800}">
      <text>
        <t>[Threaded comment]
Your version of Excel allows you to read this threaded comment; however, any edits to it will get removed if the file is opened in a newer version of Excel. Learn more: https://go.microsoft.com/fwlink/?linkid=870924
Comment:
    Projected date; not confirmed by TSMC</t>
      </text>
    </comment>
    <comment ref="N15" authorId="4" shapeId="0" xr:uid="{D5904576-6FB6-9B48-BBC2-3A158CA96407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TSMC Symposium 2019</t>
      </text>
    </comment>
    <comment ref="O15" authorId="5" shapeId="0" xr:uid="{DE6AD04A-EEA4-8446-B313-15D86E6D11DE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 N6 perf ~same as N7+</t>
      </text>
    </comment>
    <comment ref="P15" authorId="6" shapeId="0" xr:uid="{94CD2CEA-1AD3-2F45-8F58-6196CAEE5CFD}">
      <text>
        <t>[Threaded comment]
Your version of Excel allows you to read this threaded comment; however, any edits to it will get removed if the file is opened in a newer version of Excel. Learn more: https://go.microsoft.com/fwlink/?linkid=870924
Comment:
    +15% perf vs. N7 from TSMC Symposium 2019</t>
      </text>
    </comment>
    <comment ref="S15" authorId="7" shapeId="0" xr:uid="{979C39FB-1D8F-164D-956F-3C00B2ED2608}">
      <text>
        <t>[Threaded comment]
Your version of Excel allows you to read this threaded comment; however, any edits to it will get removed if the file is opened in a newer version of Excel. Learn more: https://go.microsoft.com/fwlink/?linkid=870924
Comment:
    +12.5% vs. N5, midpoint of +10-15% range mentioned by TSMC</t>
      </text>
    </comment>
    <comment ref="T15" authorId="8" shapeId="0" xr:uid="{113C71E5-52EB-234D-B91B-5FCDD812B6AF}">
      <text>
        <t>[Threaded comment]
Your version of Excel allows you to read this threaded comment; however, any edits to it will get removed if the file is opened in a newer version of Excel. Learn more: https://go.microsoft.com/fwlink/?linkid=870924
Comment:
    FTE estimate of +5% relative to N3B</t>
      </text>
    </comment>
    <comment ref="U15" authorId="9" shapeId="0" xr:uid="{3B6B9596-BB99-1F4D-9CD2-C8EBBFF18C8E}">
      <text>
        <t>[Threaded comment]
Your version of Excel allows you to read this threaded comment; however, any edits to it will get removed if the file is opened in a newer version of Excel. Learn more: https://go.microsoft.com/fwlink/?linkid=870924
Comment:
    FTE estimate of +12.5% relative to N3B</t>
      </text>
    </comment>
    <comment ref="Q24" authorId="10" shapeId="0" xr:uid="{D16FF65B-F4BF-9745-992B-3724462F7060}">
      <text>
        <t>[Threaded comment]
Your version of Excel allows you to read this threaded comment; however, any edits to it will get removed if the file is opened in a newer version of Excel. Learn more: https://go.microsoft.com/fwlink/?linkid=870924
Comment:
    Drawn dimension before 4% optical shrink</t>
      </text>
    </comment>
    <comment ref="Q25" authorId="11" shapeId="0" xr:uid="{0B5FB360-500C-A54F-9BE0-F987E849EF27}">
      <text>
        <t>[Threaded comment]
Your version of Excel allows you to read this threaded comment; however, any edits to it will get removed if the file is opened in a newer version of Excel. Learn more: https://go.microsoft.com/fwlink/?linkid=870924
Comment:
    Drawn dimension before 4% optical shrink</t>
      </text>
    </comment>
    <comment ref="L26" authorId="12" shapeId="0" xr:uid="{092A81BA-94A2-4449-9DD6-915F6F7D5AA3}">
      <text>
        <t>[Threaded comment]
Your version of Excel allows you to read this threaded comment; however, any edits to it will get removed if the file is opened in a newer version of Excel. Learn more: https://go.microsoft.com/fwlink/?linkid=870924
Comment:
    Calculated from expected #CPP</t>
      </text>
    </comment>
    <comment ref="Q26" authorId="13" shapeId="0" xr:uid="{E4FB9F62-39AB-8044-9B50-2C7CE29711D3}">
      <text>
        <t>[Threaded comment]
Your version of Excel allows you to read this threaded comment; however, any edits to it will get removed if the file is opened in a newer version of Excel. Learn more: https://go.microsoft.com/fwlink/?linkid=870924
Comment:
    After 4% optical shrink</t>
      </text>
    </comment>
    <comment ref="S26" authorId="14" shapeId="0" xr:uid="{84748FF4-76F8-8543-980A-E690BDD94CEA}">
      <text>
        <t>[Threaded comment]
Your version of Excel allows you to read this threaded comment; however, any edits to it will get removed if the file is opened in a newer version of Excel. Learn more: https://go.microsoft.com/fwlink/?linkid=870924
Comment:
    50%:50% 2-fin:1fin
Reply:
    Added 4% linear blow-up</t>
      </text>
    </comment>
    <comment ref="T26" authorId="15" shapeId="0" xr:uid="{13FE9879-222A-0D4F-BAAD-96B9D3E16F39}">
      <text>
        <t>[Threaded comment]
Your version of Excel allows you to read this threaded comment; however, any edits to it will get removed if the file is opened in a newer version of Excel. Learn more: https://go.microsoft.com/fwlink/?linkid=870924
Comment:
    50%:50% 2-fin:1fin
Reply:
    Updated for PP increase from 45nm to 48nm</t>
      </text>
    </comment>
    <comment ref="X26" authorId="16" shapeId="0" xr:uid="{CE068A67-9B93-EF45-B489-18C7CED7A75D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be same as 4LPP</t>
      </text>
    </comment>
    <comment ref="AA26" authorId="17" shapeId="0" xr:uid="{92FBEA39-022A-5246-A55F-9078C6B01ED3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 same #CPP as 168CH library</t>
      </text>
    </comment>
    <comment ref="Q34" authorId="18" shapeId="0" xr:uid="{2B4ECADE-4D8B-7C48-90E4-6971FD6EA8C7}">
      <text>
        <t>[Threaded comment]
Your version of Excel allows you to read this threaded comment; however, any edits to it will get removed if the file is opened in a newer version of Excel. Learn more: https://go.microsoft.com/fwlink/?linkid=870924
Comment:
    Drawn dimension before 4% optical shrink</t>
      </text>
    </comment>
    <comment ref="Q35" authorId="19" shapeId="0" xr:uid="{233716C5-0E59-6740-B0FB-970848A448BC}">
      <text>
        <t>[Threaded comment]
Your version of Excel allows you to read this threaded comment; however, any edits to it will get removed if the file is opened in a newer version of Excel. Learn more: https://go.microsoft.com/fwlink/?linkid=870924
Comment:
    Drawn dimension before 4% optical shrink</t>
      </text>
    </comment>
    <comment ref="Q36" authorId="20" shapeId="0" xr:uid="{26341FD6-0DBE-874E-B3D6-16A4A54B23EA}">
      <text>
        <t>[Threaded comment]
Your version of Excel allows you to read this threaded comment; however, any edits to it will get removed if the file is opened in a newer version of Excel. Learn more: https://go.microsoft.com/fwlink/?linkid=870924
Comment:
    After 4% optical shrink</t>
      </text>
    </comment>
    <comment ref="S36" authorId="21" shapeId="0" xr:uid="{1E03A367-595C-0E4A-B2A2-4F60A86AF7A5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4% linear blow-up</t>
      </text>
    </comment>
    <comment ref="T36" authorId="22" shapeId="0" xr:uid="{7465D50B-D1C4-C64C-932F-AF4E99CBDC6B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for PP increase from 45nm to 48nm</t>
      </text>
    </comment>
    <comment ref="X36" authorId="23" shapeId="0" xr:uid="{7A336D85-D138-0E4B-BE37-AA6805185D03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be same as 4LPP</t>
      </text>
    </comment>
    <comment ref="Q44" authorId="24" shapeId="0" xr:uid="{3F914B6F-5EEA-0C40-A239-6782AC506FAE}">
      <text>
        <t>[Threaded comment]
Your version of Excel allows you to read this threaded comment; however, any edits to it will get removed if the file is opened in a newer version of Excel. Learn more: https://go.microsoft.com/fwlink/?linkid=870924
Comment:
    Drawn dimension before 4% optical shrink</t>
      </text>
    </comment>
    <comment ref="Q45" authorId="25" shapeId="0" xr:uid="{F610AD18-76AB-4049-A55D-6E778A04D400}">
      <text>
        <t>[Threaded comment]
Your version of Excel allows you to read this threaded comment; however, any edits to it will get removed if the file is opened in a newer version of Excel. Learn more: https://go.microsoft.com/fwlink/?linkid=870924
Comment:
    Drawn dimension before 4% optical shrink</t>
      </text>
    </comment>
    <comment ref="Q46" authorId="26" shapeId="0" xr:uid="{B11216A5-C9FF-7E46-A79C-3AC4DB4082AE}">
      <text>
        <t>[Threaded comment]
Your version of Excel allows you to read this threaded comment; however, any edits to it will get removed if the file is opened in a newer version of Excel. Learn more: https://go.microsoft.com/fwlink/?linkid=870924
Comment:
    After 4% optical shrink</t>
      </text>
    </comment>
    <comment ref="S46" authorId="27" shapeId="0" xr:uid="{537F1F22-7F33-E545-941F-C8AACBCEC954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4% linear blow-up</t>
      </text>
    </comment>
    <comment ref="T46" authorId="28" shapeId="0" xr:uid="{EEF610A6-10BB-8144-A7A0-BCEF2F0A9926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for PP increase from 51nm to 54nm</t>
      </text>
    </comment>
    <comment ref="X46" authorId="29" shapeId="0" xr:uid="{32A9BBC0-524B-2C49-AFE7-1CAECE418FC1}">
      <text>
        <t>[Threaded comment]
Your version of Excel allows you to read this threaded comment; however, any edits to it will get removed if the file is opened in a newer version of Excel. Learn more: https://go.microsoft.com/fwlink/?linkid=870924
Comment:
    calculate based on libh, #cpp</t>
      </text>
    </comment>
    <comment ref="Y46" authorId="30" shapeId="0" xr:uid="{6E52CE89-5BF1-6E48-AACA-03D02B4311F2}">
      <text>
        <t>[Threaded comment]
Your version of Excel allows you to read this threaded comment; however, any edits to it will get removed if the file is opened in a newer version of Excel. Learn more: https://go.microsoft.com/fwlink/?linkid=870924
Comment:
    calculate based on libh, #cpp</t>
      </text>
    </comment>
    <comment ref="N49" authorId="31" shapeId="0" xr:uid="{4C5F775D-362B-194E-8533-52168D2F5143}">
      <text>
        <t>[Threaded comment]
Your version of Excel allows you to read this threaded comment; however, any edits to it will get removed if the file is opened in a newer version of Excel. Learn more: https://go.microsoft.com/fwlink/?linkid=870924
Comment:
    NR2/ND2 OPTPA D4</t>
      </text>
    </comment>
    <comment ref="P49" authorId="32" shapeId="0" xr:uid="{815D7BD4-DF40-8F43-8333-B2725F337DE5}">
      <text>
        <t>[Threaded comment]
Your version of Excel allows you to read this threaded comment; however, any edits to it will get removed if the file is opened in a newer version of Excel. Learn more: https://go.microsoft.com/fwlink/?linkid=870924
Comment:
    NOMSAKA</t>
      </text>
    </comment>
    <comment ref="Q54" authorId="33" shapeId="0" xr:uid="{D6141F0D-0CF7-A44B-92F8-39001F90B0C6}">
      <text>
        <t>[Threaded comment]
Your version of Excel allows you to read this threaded comment; however, any edits to it will get removed if the file is opened in a newer version of Excel. Learn more: https://go.microsoft.com/fwlink/?linkid=870924
Comment:
    Area after 4% optical shrink</t>
      </text>
    </comment>
    <comment ref="S54" authorId="34" shapeId="0" xr:uid="{577926B4-B879-F64E-9602-337C7471CADC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Including 8% optical enlargement</t>
      </text>
    </comment>
    <comment ref="T54" authorId="35" shapeId="0" xr:uid="{0C2616F4-19C4-3442-8429-F60599A9499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Including poly pitch increase from 45nm to 48nm</t>
      </text>
    </comment>
    <comment ref="Q55" authorId="36" shapeId="0" xr:uid="{978542A9-84B8-4240-BBC9-F115D93C42E8}">
      <text>
        <t>[Threaded comment]
Your version of Excel allows you to read this threaded comment; however, any edits to it will get removed if the file is opened in a newer version of Excel. Learn more: https://go.microsoft.com/fwlink/?linkid=870924
Comment:
    Area after 4% optical shrink</t>
      </text>
    </comment>
    <comment ref="Q56" authorId="37" shapeId="0" xr:uid="{CD9BDFDF-6EE5-E244-AA63-325AF5CD7FA1}">
      <text>
        <t>[Threaded comment]
Your version of Excel allows you to read this threaded comment; however, any edits to it will get removed if the file is opened in a newer version of Excel. Learn more: https://go.microsoft.com/fwlink/?linkid=870924
Comment:
    Area after 4% optical shrink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Goldsmith, Michael</author>
  </authors>
  <commentList>
    <comment ref="E10" authorId="0" shapeId="0" xr:uid="{B41E8BC2-A64F-4BE9-AB78-5E545B0B1CB1}">
      <text>
        <r>
          <rPr>
            <b/>
            <sz val="9"/>
            <color rgb="FF000000"/>
            <rFont val="Tahoma"/>
            <family val="2"/>
          </rPr>
          <t>Goldsmith, Michael: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Estimated</t>
        </r>
      </text>
    </comment>
    <comment ref="D19" authorId="0" shapeId="0" xr:uid="{1B78EC85-D68D-45E5-844D-6E0DCDF515E7}">
      <text>
        <r>
          <rPr>
            <b/>
            <sz val="9"/>
            <color indexed="81"/>
            <rFont val="Tahoma"/>
            <family val="2"/>
          </rPr>
          <t>Goldsmith, Michael:</t>
        </r>
        <r>
          <rPr>
            <sz val="9"/>
            <color indexed="81"/>
            <rFont val="Tahoma"/>
            <family val="2"/>
          </rPr>
          <t xml:space="preserve">
11% gain from S7 to S5 claimed</t>
        </r>
      </text>
    </comment>
    <comment ref="D20" authorId="0" shapeId="0" xr:uid="{26ED5C1A-C6B2-41DA-A643-C56C374DCC82}">
      <text>
        <r>
          <rPr>
            <b/>
            <sz val="9"/>
            <color indexed="81"/>
            <rFont val="Tahoma"/>
            <family val="2"/>
          </rPr>
          <t>Goldsmith, Michael:</t>
        </r>
        <r>
          <rPr>
            <sz val="9"/>
            <color indexed="81"/>
            <rFont val="Tahoma"/>
            <family val="2"/>
          </rPr>
          <t xml:space="preserve">
S6 is H243 with SDB, so take the average improvement from S7 --&gt; S5 for both SDB + cell ht reduction.</t>
        </r>
      </text>
    </comment>
  </commentList>
</comments>
</file>

<file path=xl/sharedStrings.xml><?xml version="1.0" encoding="utf-8"?>
<sst xmlns="http://schemas.openxmlformats.org/spreadsheetml/2006/main" count="835" uniqueCount="366">
  <si>
    <t>Technology Milestones:</t>
  </si>
  <si>
    <t>Category</t>
  </si>
  <si>
    <t>Parameter</t>
  </si>
  <si>
    <t>Unit</t>
  </si>
  <si>
    <t>Definition</t>
  </si>
  <si>
    <t>N7</t>
  </si>
  <si>
    <t>N7+</t>
  </si>
  <si>
    <t>N6</t>
  </si>
  <si>
    <t>N5</t>
  </si>
  <si>
    <t>N4</t>
  </si>
  <si>
    <t>N4P</t>
  </si>
  <si>
    <t>N3B</t>
  </si>
  <si>
    <t>N3E</t>
  </si>
  <si>
    <t>N2</t>
  </si>
  <si>
    <t>5LPE</t>
  </si>
  <si>
    <t>5LPP</t>
  </si>
  <si>
    <t>4LPE</t>
  </si>
  <si>
    <t>4LPP</t>
  </si>
  <si>
    <t>3GAE+</t>
  </si>
  <si>
    <t>3GAP</t>
  </si>
  <si>
    <t>2GAP</t>
  </si>
  <si>
    <t>PDK milestones</t>
  </si>
  <si>
    <t>Lead product PDK revision</t>
  </si>
  <si>
    <t>N/A (Text)</t>
  </si>
  <si>
    <t>Revision number of PDK used for lead customer production design</t>
  </si>
  <si>
    <t>Lead product PDK release date</t>
  </si>
  <si>
    <t>quarter'year</t>
  </si>
  <si>
    <t>Aligned to TSMC phase 1 PDK definition = SPICE/DRC + 4 weeks</t>
  </si>
  <si>
    <t>Q4'16</t>
  </si>
  <si>
    <t>Q2'19</t>
  </si>
  <si>
    <t>Production PDK revision</t>
  </si>
  <si>
    <t>Revision number of PDK used for new production designs</t>
  </si>
  <si>
    <t>1.0</t>
  </si>
  <si>
    <t>1.1</t>
  </si>
  <si>
    <t>1.01</t>
  </si>
  <si>
    <t>Production PDK release date</t>
  </si>
  <si>
    <t>Q2'22</t>
  </si>
  <si>
    <t>Q4'22</t>
  </si>
  <si>
    <t>Q1'23</t>
  </si>
  <si>
    <t>Q4'23</t>
  </si>
  <si>
    <t>Q3'24</t>
  </si>
  <si>
    <t>Q3'20</t>
  </si>
  <si>
    <t>Q2'18</t>
  </si>
  <si>
    <t>Q1'20</t>
  </si>
  <si>
    <t>Q2'20</t>
  </si>
  <si>
    <t>Q1'22</t>
  </si>
  <si>
    <t>Q3'21</t>
  </si>
  <si>
    <t>Q2'24</t>
  </si>
  <si>
    <t>Q3'22</t>
  </si>
  <si>
    <t>HVM milestones</t>
  </si>
  <si>
    <t>HVM Ready</t>
  </si>
  <si>
    <t>Process-limited PRQ date; HVM wafer starts in prior quarter
Intel: DD&lt;0.5, 90% perf vs. UPF
External: Equivalent to above</t>
  </si>
  <si>
    <t>Q1'24</t>
  </si>
  <si>
    <t>Q2'25</t>
  </si>
  <si>
    <t>Q4'17</t>
  </si>
  <si>
    <t>Q4'20</t>
  </si>
  <si>
    <t>Q4'21</t>
  </si>
  <si>
    <t>Q3'23</t>
  </si>
  <si>
    <t>Q3'25</t>
  </si>
  <si>
    <t>Power/Performance/Area Metrics:</t>
  </si>
  <si>
    <t>Perf/power entitlement</t>
  </si>
  <si>
    <t>Intel perf</t>
  </si>
  <si>
    <t>N/A (ratio)</t>
  </si>
  <si>
    <t>Block-level iso-power perf expectation provided by Intel TD</t>
  </si>
  <si>
    <t>TSMC perf</t>
  </si>
  <si>
    <t>Block-level iso-power perf expectation provided by TSMC</t>
  </si>
  <si>
    <t>Samsung perf</t>
  </si>
  <si>
    <t>Block-level iso-power perf expectation provided by Samsung</t>
  </si>
  <si>
    <t>TSMC/Intel perf ratio</t>
  </si>
  <si>
    <t>Block-level iso-power perf link between Intel and TSMC</t>
  </si>
  <si>
    <t>Samsung/TSMC perf ratio</t>
  </si>
  <si>
    <t>Block-level iso-power perf link between TSMC and Samsung</t>
  </si>
  <si>
    <t>Iso-power perf</t>
  </si>
  <si>
    <t>Block-level iso-power perf relative to 1276.31</t>
  </si>
  <si>
    <t>FTE L1 FOM Simulation Conditions</t>
  </si>
  <si>
    <t>PPA PVT</t>
  </si>
  <si>
    <t>Corner/V/C</t>
  </si>
  <si>
    <t>Process corner / Voltage / Temperature used in PPA</t>
  </si>
  <si>
    <t>TT/0.75/ 100</t>
  </si>
  <si>
    <t>TT/0.7/ 100</t>
  </si>
  <si>
    <t>PPA PDK</t>
  </si>
  <si>
    <t>Rev</t>
  </si>
  <si>
    <t>PDK version used in PPA</t>
  </si>
  <si>
    <t>0.8_r0v0p0_ev2</t>
  </si>
  <si>
    <t>010_r0v0p0_ev2</t>
  </si>
  <si>
    <t>010_r5v0p0_uv2</t>
  </si>
  <si>
    <t>pdk013_r5v0p0_ev2</t>
  </si>
  <si>
    <t>782_r0.1.2HP1_r3v0p0_beta</t>
  </si>
  <si>
    <t>v1.1.2</t>
  </si>
  <si>
    <t>v1.1.0</t>
  </si>
  <si>
    <t>v1.0</t>
  </si>
  <si>
    <t>v0.9.0</t>
  </si>
  <si>
    <t xml:space="preserve">PPA Library </t>
  </si>
  <si>
    <t>Library revision used in PPA</t>
  </si>
  <si>
    <t>100a</t>
  </si>
  <si>
    <t>130a</t>
  </si>
  <si>
    <t>100b</t>
  </si>
  <si>
    <t>110a</t>
  </si>
  <si>
    <t>PPA Model</t>
  </si>
  <si>
    <t>Model version used in PPA</t>
  </si>
  <si>
    <t>r0.8HP3</t>
  </si>
  <si>
    <t>r0.3</t>
  </si>
  <si>
    <t>x0p1</t>
  </si>
  <si>
    <t>opt2x0p1p3_eval</t>
  </si>
  <si>
    <t>r0.0.0HP1</t>
  </si>
  <si>
    <t>1.2.2.3</t>
  </si>
  <si>
    <t>1.0.2.4</t>
  </si>
  <si>
    <t>1.1.2</t>
  </si>
  <si>
    <t>1.0.0.0</t>
  </si>
  <si>
    <t>1.0.2</t>
  </si>
  <si>
    <t>0.2.0.1</t>
  </si>
  <si>
    <t>v0.1.0.0</t>
  </si>
  <si>
    <t>HD library PPA</t>
  </si>
  <si>
    <t>Cell height</t>
  </si>
  <si>
    <t>nm</t>
  </si>
  <si>
    <t>Effective cell height</t>
  </si>
  <si>
    <t>Poly pitch</t>
  </si>
  <si>
    <t>Contacted poly pitch</t>
  </si>
  <si>
    <t>FTE Logic Density</t>
  </si>
  <si>
    <t>MTr/mm^2</t>
  </si>
  <si>
    <t>Logic transistor density 60:40 NAND:SFF (FTE metric)</t>
  </si>
  <si>
    <t>Tyche effective density factor</t>
  </si>
  <si>
    <t>Increase in effective Tr density due to use of backside metal</t>
  </si>
  <si>
    <t>Logic area (FTE metric)</t>
  </si>
  <si>
    <t>Logic area relative to 1276.31 HD</t>
  </si>
  <si>
    <t>FTE L1 iso-power perf</t>
  </si>
  <si>
    <t>FTE benchmark; relative to reference node</t>
  </si>
  <si>
    <t>FTE L1 iso-perf power</t>
  </si>
  <si>
    <t>TEG cell area</t>
  </si>
  <si>
    <t>um^2</t>
  </si>
  <si>
    <t>Weighted area of 11 cells (TEG metric)</t>
  </si>
  <si>
    <t>TEG L1 iso-power perf</t>
  </si>
  <si>
    <t>TEG benchmark; relative to reference node</t>
  </si>
  <si>
    <t>TEG L1 iso-perf power</t>
  </si>
  <si>
    <t>HP library PPA</t>
  </si>
  <si>
    <t>Logic area relative to 1276.31 HP</t>
  </si>
  <si>
    <t>HP2 library PPA</t>
  </si>
  <si>
    <t>Logic area relative to 1276.31 HP2</t>
  </si>
  <si>
    <t>SRAM cell area</t>
  </si>
  <si>
    <t>HD cell area</t>
  </si>
  <si>
    <t>sq um</t>
  </si>
  <si>
    <t>Area of highest density SRAM cell (typically 111 for FinFET)</t>
  </si>
  <si>
    <t>HC cell area</t>
  </si>
  <si>
    <t>Area of high-current SRAM cell (typically 122 for FinFET)</t>
  </si>
  <si>
    <t>HC RF cell area</t>
  </si>
  <si>
    <t>Area of high-current RF cell (typically 111-33 or 122-33 for FinFET)</t>
  </si>
  <si>
    <t>Relative HD cell area</t>
  </si>
  <si>
    <t>HD cell area relative to 1276.31 HD</t>
  </si>
  <si>
    <t>Relative HC cell area</t>
  </si>
  <si>
    <t>HC cell area relative to 1276.31 HP</t>
  </si>
  <si>
    <t>Relative RF cell area</t>
  </si>
  <si>
    <t>RF cell area relative to 1276.31 RF</t>
  </si>
  <si>
    <t>Analog/IO PPA</t>
  </si>
  <si>
    <t>Analog/IO area</t>
  </si>
  <si>
    <t>Area relative to reference node</t>
  </si>
  <si>
    <t>Process Features:</t>
  </si>
  <si>
    <t>MIM Cap</t>
  </si>
  <si>
    <t>Presence</t>
  </si>
  <si>
    <t>N/A (Yes/No)</t>
  </si>
  <si>
    <t>Does process have high-density MIM Cap</t>
  </si>
  <si>
    <t>Yes</t>
  </si>
  <si>
    <t>Cap density</t>
  </si>
  <si>
    <t>fF/um^2</t>
  </si>
  <si>
    <t>Capacitance density</t>
  </si>
  <si>
    <t>135-150</t>
  </si>
  <si>
    <t>Innovations</t>
  </si>
  <si>
    <t>Key innovation</t>
  </si>
  <si>
    <t>Key innovation impacting product PPA, if any</t>
  </si>
  <si>
    <t>Impact on PPA</t>
  </si>
  <si>
    <t>Incremental improvement of PPA</t>
  </si>
  <si>
    <t>Node</t>
  </si>
  <si>
    <t>HVM Qtr</t>
  </si>
  <si>
    <t>HVM Date</t>
  </si>
  <si>
    <t>HD Tr Density</t>
  </si>
  <si>
    <t>HP Tr Density</t>
  </si>
  <si>
    <t>Iso-power Perf</t>
  </si>
  <si>
    <t>HD SRAM Cell Size</t>
  </si>
  <si>
    <t>Source Data</t>
  </si>
  <si>
    <r>
      <t>HD Library Tr Density (MTr/mm</t>
    </r>
    <r>
      <rPr>
        <b/>
        <vertAlign val="superscript"/>
        <sz val="14"/>
        <color theme="1"/>
        <rFont val="Intel Clear"/>
        <family val="2"/>
      </rPr>
      <t>2</t>
    </r>
    <r>
      <rPr>
        <b/>
        <sz val="14"/>
        <color theme="1"/>
        <rFont val="Intel Clear"/>
        <family val="2"/>
      </rPr>
      <t>)</t>
    </r>
  </si>
  <si>
    <r>
      <t>HP Library Tr Density (MTr/mm</t>
    </r>
    <r>
      <rPr>
        <b/>
        <vertAlign val="superscript"/>
        <sz val="14"/>
        <color theme="1"/>
        <rFont val="Intel Clear"/>
        <family val="2"/>
      </rPr>
      <t>2</t>
    </r>
    <r>
      <rPr>
        <b/>
        <sz val="14"/>
        <color theme="1"/>
        <rFont val="Intel Clear"/>
        <family val="2"/>
      </rPr>
      <t>)</t>
    </r>
  </si>
  <si>
    <t>Notes</t>
  </si>
  <si>
    <r>
      <t>Bitcell Density (Mb/mm</t>
    </r>
    <r>
      <rPr>
        <b/>
        <vertAlign val="superscript"/>
        <sz val="14"/>
        <color theme="1"/>
        <rFont val="Intel Clear"/>
        <family val="2"/>
      </rPr>
      <t>2</t>
    </r>
    <r>
      <rPr>
        <b/>
        <sz val="14"/>
        <color theme="1"/>
        <rFont val="Intel Clear"/>
        <family val="2"/>
      </rPr>
      <t>)</t>
    </r>
  </si>
  <si>
    <t>Iso-power Perf (LV)</t>
  </si>
  <si>
    <t>Height</t>
  </si>
  <si>
    <t>CPP</t>
  </si>
  <si>
    <t>Tr Density</t>
  </si>
  <si>
    <t>HD SRAM</t>
  </si>
  <si>
    <t>HC SRAM</t>
  </si>
  <si>
    <t>HC RF</t>
  </si>
  <si>
    <t>Intel</t>
  </si>
  <si>
    <t>TSMC</t>
  </si>
  <si>
    <t>Samsung</t>
  </si>
  <si>
    <t>Intel/TSMC Link</t>
  </si>
  <si>
    <t>Samsung/TSMC Link</t>
  </si>
  <si>
    <t>Combined</t>
  </si>
  <si>
    <t>1.154X with PDK0.4 from Gopi update shared by Sourav 11/9/21. TD entitlement &gt;16% for PDK0.5 without TFM.</t>
  </si>
  <si>
    <t>+7% included for Tyche benefit</t>
  </si>
  <si>
    <t>1.30X 1276.3 without TFM from TD Ops Nov. '21</t>
  </si>
  <si>
    <t>1.05X 1278.2 from TD Ops Nov. '21</t>
  </si>
  <si>
    <t>1.05X 1278.3 from TD Ops Nov. '21</t>
  </si>
  <si>
    <t>1.03X 1278.3 from TD Ops Nov. '21</t>
  </si>
  <si>
    <t>1.03X from TSMC Symposium 2019</t>
  </si>
  <si>
    <t>Assume N6 perf same as N7+</t>
  </si>
  <si>
    <t>1.15X N7 from TSMC; need to update with PDK V1.2 N5/1276.3 ratio of 1.1X from PSG analysis; need to reconcile with FTE L1/L2 results which are larger.</t>
  </si>
  <si>
    <t>2% linear shrink included</t>
  </si>
  <si>
    <t>Same as N5 from TSMC update Nov. '21</t>
  </si>
  <si>
    <t>1.06X N4 from TSMC</t>
  </si>
  <si>
    <t>4% linear expansion included</t>
  </si>
  <si>
    <t>1.125X N5, mid-point of 1.1-1.15X range from TSMC</t>
  </si>
  <si>
    <t>1.05X N3B, FTE projection</t>
  </si>
  <si>
    <t>FTE projection</t>
  </si>
  <si>
    <t>1.125X N3B, mid-point of 1.1-1.15X of range provided by TSMC July'21</t>
  </si>
  <si>
    <t>1.02X 5LPE from 8-18-2021 Samsung roadmap meeting</t>
  </si>
  <si>
    <t>1.11X 5LPE from 8-18-2021 Samsung roadmap meeting</t>
  </si>
  <si>
    <t>1.16X 5LPE from 8-18-2021 Samsung roadmap meeting. 4LPP/N5 ratio of 1.01 from FTiD L1 analysis (11-18-2021 update).</t>
  </si>
  <si>
    <t>1.25X 5LPE from 8-18-2021 Samsung roadmap meeting</t>
  </si>
  <si>
    <t>148H library may not be available at HVM date</t>
  </si>
  <si>
    <t>1.33X 5LPE from 8-18-2021 Samsung roadmap meeting</t>
  </si>
  <si>
    <t>* Libraries are based on actual or expected use on Intel products: HD for graphics, HP for compute IP (Atom, bigcore)</t>
  </si>
  <si>
    <t>7LPP</t>
  </si>
  <si>
    <t>6LPP</t>
  </si>
  <si>
    <t>Technology</t>
  </si>
  <si>
    <t>Node 
(PPA based)</t>
  </si>
  <si>
    <t>Iso Power Performance nomalized to Intel 4</t>
  </si>
  <si>
    <t>HD SRAM 
Cell Size
µm2</t>
  </si>
  <si>
    <t>1276.3/Intel 4</t>
  </si>
  <si>
    <t>1276.4/Intel 3</t>
  </si>
  <si>
    <t>1278.2/Intel 20A</t>
  </si>
  <si>
    <t>1278.3/Intel 18A</t>
  </si>
  <si>
    <t>Wafer Price</t>
  </si>
  <si>
    <t>Iso Power Performance nomalized to TSMC N6</t>
  </si>
  <si>
    <t>HD SRAM 
Cell Size
Normalized to TSMC N6</t>
  </si>
  <si>
    <t>$/bit normalized to TSMC N6</t>
  </si>
  <si>
    <t>Wafer Price Normalized to TSMC N6</t>
  </si>
  <si>
    <t>MB/mm^2</t>
  </si>
  <si>
    <t>Array Eff.</t>
  </si>
  <si>
    <t>1600GB/s</t>
  </si>
  <si>
    <t>64MB</t>
  </si>
  <si>
    <t>area</t>
  </si>
  <si>
    <t>red.</t>
  </si>
  <si>
    <t>array circuit</t>
  </si>
  <si>
    <t>io</t>
  </si>
  <si>
    <t>other</t>
  </si>
  <si>
    <t>net memoty</t>
  </si>
  <si>
    <t>total</t>
  </si>
  <si>
    <t>ratio = array eff.</t>
  </si>
  <si>
    <t>SRAM</t>
  </si>
  <si>
    <t>ML</t>
  </si>
  <si>
    <t>cost</t>
  </si>
  <si>
    <t>front</t>
  </si>
  <si>
    <t>Back</t>
  </si>
  <si>
    <t>9-13</t>
  </si>
  <si>
    <t>$10.5K~12K</t>
  </si>
  <si>
    <t>HB, µB</t>
  </si>
  <si>
    <t>TSV, µB</t>
  </si>
  <si>
    <t>9~17</t>
  </si>
  <si>
    <t>14</t>
  </si>
  <si>
    <t>$12.650K</t>
  </si>
  <si>
    <t>µB</t>
  </si>
  <si>
    <t>?  Need to confirm</t>
  </si>
  <si>
    <t>now $13K+ perhaps more.  Need to talk to Yonah.</t>
  </si>
  <si>
    <t>Leakage/bit normal mode [nW/bit] TT/0.85V/100C</t>
  </si>
  <si>
    <t>2R + 1W avg energy/bit TT/0.85V/85C</t>
  </si>
  <si>
    <t>Array Fmax [GHz]
TT/.85V/85C</t>
  </si>
  <si>
    <t>Cell Size</t>
  </si>
  <si>
    <t>$/bit</t>
  </si>
  <si>
    <t>Access Energy</t>
  </si>
  <si>
    <t xml:space="preserve">SRAM Speed </t>
  </si>
  <si>
    <t>Static Leakage</t>
  </si>
  <si>
    <t xml:space="preserve">Logic Performance </t>
  </si>
  <si>
    <t>Fmax [GHz] TT/0.85V/85C</t>
  </si>
  <si>
    <t>Intel 3</t>
  </si>
  <si>
    <t>Q2/27 P1276.4 LRP</t>
  </si>
  <si>
    <t>Cost</t>
  </si>
  <si>
    <t>Price (50% margin assumed)</t>
  </si>
  <si>
    <t>SF5</t>
  </si>
  <si>
    <t>SF4</t>
  </si>
  <si>
    <t>Full feature N6 matured wafer cost</t>
  </si>
  <si>
    <t>Normalized Intel 3 wafer price to N6</t>
  </si>
  <si>
    <t>$/64MB</t>
  </si>
  <si>
    <t>cell size * wafer price</t>
  </si>
  <si>
    <t>For PieChart</t>
  </si>
  <si>
    <t>Cell Size
[µm^2]</t>
  </si>
  <si>
    <t>Inverse linear from 0.03 to 0.02</t>
  </si>
  <si>
    <t>2R1W Energy
[pJ/b]</t>
  </si>
  <si>
    <t>Inversion linear from 0.07 to 0.04</t>
  </si>
  <si>
    <t>SRAM Fmax
[GHz]</t>
  </si>
  <si>
    <t>ratio</t>
  </si>
  <si>
    <t>Static Leakage
[nW/b]</t>
  </si>
  <si>
    <t>Inversion linear from 1.25 to 0.5</t>
  </si>
  <si>
    <t>Iso Power Speed
[Normalized]</t>
  </si>
  <si>
    <t>ration from 0.9 to 1.2</t>
  </si>
  <si>
    <t>Components</t>
  </si>
  <si>
    <t>X-dim µm</t>
  </si>
  <si>
    <t>Y-dim µm</t>
  </si>
  <si>
    <r>
      <t>Die Size in mm</t>
    </r>
    <r>
      <rPr>
        <vertAlign val="superscript"/>
        <sz val="12"/>
        <color rgb="FF000000"/>
        <rFont val="Calibri"/>
        <family val="2"/>
        <scheme val="minor"/>
      </rPr>
      <t>2</t>
    </r>
  </si>
  <si>
    <t>DPW</t>
  </si>
  <si>
    <t>Yield</t>
  </si>
  <si>
    <t>GDPW</t>
  </si>
  <si>
    <t>SOC M</t>
  </si>
  <si>
    <t>TSMC N6 13ML</t>
  </si>
  <si>
    <t>CPU M</t>
  </si>
  <si>
    <t>P1278.3</t>
  </si>
  <si>
    <t>GPU M</t>
  </si>
  <si>
    <t>TSMC N3E 17ML</t>
  </si>
  <si>
    <t>SOC U</t>
  </si>
  <si>
    <t>CPU U</t>
  </si>
  <si>
    <t>GPU U</t>
  </si>
  <si>
    <t>SOC P</t>
  </si>
  <si>
    <t>CPU P</t>
  </si>
  <si>
    <t>GPU P</t>
  </si>
  <si>
    <t>SRAM 64MB</t>
  </si>
  <si>
    <t>TSMC N6 9ML</t>
  </si>
  <si>
    <t>SRAM 32MB</t>
  </si>
  <si>
    <t>SRAM 128MB</t>
  </si>
  <si>
    <t>wafer diameter</t>
  </si>
  <si>
    <t>Exclusion ring</t>
  </si>
  <si>
    <t>usable diameter</t>
  </si>
  <si>
    <t>die-x</t>
  </si>
  <si>
    <t>die-y</t>
  </si>
  <si>
    <t>scribe x</t>
  </si>
  <si>
    <t>scribe y</t>
  </si>
  <si>
    <t>die size</t>
  </si>
  <si>
    <t>die per wafer</t>
  </si>
  <si>
    <t>mm</t>
  </si>
  <si>
    <t>µm</t>
  </si>
  <si>
    <r>
      <t>mm</t>
    </r>
    <r>
      <rPr>
        <vertAlign val="superscript"/>
        <sz val="12"/>
        <color theme="1"/>
        <rFont val="Calibri (Body)"/>
      </rPr>
      <t>2</t>
    </r>
  </si>
  <si>
    <t>#</t>
  </si>
  <si>
    <t>die cost</t>
  </si>
  <si>
    <t>ADM 64MB</t>
  </si>
  <si>
    <t>P1222.7</t>
  </si>
  <si>
    <t>ADM 128MB</t>
  </si>
  <si>
    <t>ADM 400MB</t>
  </si>
  <si>
    <t>Rediness '24</t>
  </si>
  <si>
    <t>SPIL</t>
  </si>
  <si>
    <t>ASE</t>
  </si>
  <si>
    <t>JCET</t>
  </si>
  <si>
    <t>Amkor</t>
  </si>
  <si>
    <t>TSMC'22</t>
  </si>
  <si>
    <t>Norm. Base</t>
  </si>
  <si>
    <t>conversion</t>
  </si>
  <si>
    <t>µB Pitch [µm]</t>
  </si>
  <si>
    <t>TMV Pitch [µm]</t>
  </si>
  <si>
    <t>C4 Bump Pitch [µm]</t>
  </si>
  <si>
    <t>RDL Pitch [µm]</t>
  </si>
  <si>
    <t>RDL layers</t>
  </si>
  <si>
    <t>Number of
RDL layers</t>
  </si>
  <si>
    <t>Embedded Die</t>
  </si>
  <si>
    <t>Number of
Embedded Die</t>
  </si>
  <si>
    <t>Module Sizes [Reticle stiching]</t>
  </si>
  <si>
    <t>Module Sizes 
[x reticle]</t>
  </si>
  <si>
    <r>
      <t>Package Sizes [mm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]</t>
    </r>
  </si>
  <si>
    <t>100*100</t>
  </si>
  <si>
    <t>75*75</t>
  </si>
  <si>
    <t>65*72</t>
  </si>
  <si>
    <t>Package Sizes [mm^2]</t>
  </si>
  <si>
    <t>Package Sizes 
[mm] square</t>
  </si>
  <si>
    <t>sqrt Ratio</t>
  </si>
  <si>
    <t>Inversion linear from 10 to 4</t>
  </si>
  <si>
    <t>$/MB</t>
  </si>
  <si>
    <t>division</t>
  </si>
  <si>
    <t>Reverse</t>
  </si>
  <si>
    <t>TMV Pitch
[µm]</t>
  </si>
  <si>
    <t>µB Pitch
[µm]</t>
  </si>
  <si>
    <t>C4 Bump Pitch
[µm]</t>
  </si>
  <si>
    <t>RDL Pitch
[µm]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</si>
</sst>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  <numFmt numFmtId="165" formatCode="0.0000"/>
    <numFmt numFmtId="166" formatCode="0.000"/>
    <numFmt numFmtId="167" formatCode="0.00000"/>
    <numFmt numFmtId="168" formatCode="_-[$$-409]* #,##0_ ;_-[$$-409]* \-#,##0\ ;_-[$$-409]* &quot;-&quot;??_ ;_-@_ "/>
    <numFmt numFmtId="169" formatCode="_([$$-409]* #,##0.00_);_([$$-409]* \(#,##0.00\);_([$$-409]* &quot;-&quot;??_);_(@_)"/>
    <numFmt numFmtId="170" formatCode="_([$$-409]* #,##0_);_([$$-409]* \(#,##0\);_([$$-409]* &quot;-&quot;??_);_(@_)"/>
    <numFmt numFmtId="171" formatCode="0.0%"/>
    <numFmt numFmtId="172" formatCode="&quot;$&quot;#,##0.00"/>
  </numFmts>
  <fonts count="33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Intel Clear"/>
      <family val="2"/>
    </font>
    <font>
      <sz val="18"/>
      <color theme="1"/>
      <name val="Intel Clear"/>
      <family val="2"/>
    </font>
    <font>
      <sz val="11"/>
      <color theme="1"/>
      <name val="Intel Clear"/>
      <family val="2"/>
    </font>
    <font>
      <b/>
      <sz val="18"/>
      <color theme="1"/>
      <name val="Intel Clear"/>
      <family val="2"/>
    </font>
    <font>
      <b/>
      <sz val="14"/>
      <color theme="1"/>
      <name val="Intel Clear"/>
      <family val="2"/>
    </font>
    <font>
      <b/>
      <vertAlign val="superscript"/>
      <sz val="14"/>
      <color theme="1"/>
      <name val="Intel Clear"/>
      <family val="2"/>
    </font>
    <font>
      <sz val="14"/>
      <color theme="1"/>
      <name val="Intel Clear"/>
      <family val="2"/>
    </font>
    <font>
      <b/>
      <sz val="18"/>
      <color theme="4"/>
      <name val="Intel Clear"/>
      <family val="2"/>
    </font>
    <font>
      <sz val="18"/>
      <name val="Intel Clear"/>
      <family val="2"/>
    </font>
    <font>
      <b/>
      <sz val="18"/>
      <color rgb="FF00B050"/>
      <name val="Intel Clear"/>
      <family val="2"/>
    </font>
    <font>
      <b/>
      <sz val="12"/>
      <color rgb="FFFF0000"/>
      <name val="Intel Clear"/>
      <family val="2"/>
    </font>
    <font>
      <sz val="12"/>
      <color theme="1"/>
      <name val="Intel Clear"/>
      <family val="2"/>
    </font>
    <font>
      <b/>
      <sz val="12"/>
      <color theme="1"/>
      <name val="Intel Clear"/>
      <family val="2"/>
    </font>
    <font>
      <b/>
      <sz val="12"/>
      <color theme="4"/>
      <name val="Intel Clear"/>
      <family val="2"/>
    </font>
    <font>
      <b/>
      <sz val="12"/>
      <color rgb="FF00B050"/>
      <name val="Intel Clear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2"/>
      <color theme="1"/>
      <name val="Intel Clear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vertAlign val="superscript"/>
      <sz val="12"/>
      <color theme="1"/>
      <name val="Calibri (Body)"/>
    </font>
    <font>
      <sz val="12"/>
      <color rgb="FF0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3"/>
      </left>
      <right style="thin">
        <color auto="1"/>
      </right>
      <top style="thin">
        <color theme="3"/>
      </top>
      <bottom style="thin">
        <color theme="3"/>
      </bottom>
      <diagonal/>
    </border>
    <border>
      <left style="thin">
        <color auto="1"/>
      </left>
      <right style="thin">
        <color auto="1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thin">
        <color auto="1"/>
      </right>
      <top style="thin">
        <color theme="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3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4" fillId="0" borderId="0" applyFont="0" applyFill="0" applyBorder="0" applyAlignment="0" applyProtection="0"/>
    <xf numFmtId="0" fontId="27" fillId="0" borderId="0"/>
  </cellStyleXfs>
  <cellXfs count="210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 wrapText="1"/>
    </xf>
    <xf numFmtId="164" fontId="0" fillId="0" borderId="4" xfId="0" quotePrefix="1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quotePrefix="1" applyFill="1" applyBorder="1" applyAlignment="1">
      <alignment horizontal="center" vertical="center" wrapText="1"/>
    </xf>
    <xf numFmtId="164" fontId="0" fillId="2" borderId="4" xfId="0" quotePrefix="1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9" xfId="0" quotePrefix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6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5" fontId="0" fillId="0" borderId="6" xfId="0" applyNumberForma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2" fontId="10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6" xfId="0" quotePrefix="1" applyFont="1" applyBorder="1" applyAlignment="1">
      <alignment horizontal="center" vertical="center"/>
    </xf>
    <xf numFmtId="164" fontId="10" fillId="0" borderId="6" xfId="0" quotePrefix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8" fillId="0" borderId="23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7" fontId="15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2" fontId="15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5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15" fillId="5" borderId="0" xfId="0" applyFont="1" applyFill="1" applyAlignment="1">
      <alignment horizontal="center" vertical="center"/>
    </xf>
    <xf numFmtId="0" fontId="15" fillId="6" borderId="0" xfId="0" applyFont="1" applyFill="1" applyAlignment="1">
      <alignment vertical="center"/>
    </xf>
    <xf numFmtId="2" fontId="15" fillId="6" borderId="0" xfId="0" applyNumberFormat="1" applyFont="1" applyFill="1" applyAlignment="1">
      <alignment vertical="center"/>
    </xf>
    <xf numFmtId="0" fontId="15" fillId="6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16" fontId="0" fillId="0" borderId="0" xfId="0" quotePrefix="1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6" borderId="0" xfId="0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4" fontId="0" fillId="0" borderId="0" xfId="0" applyNumberFormat="1" applyAlignment="1">
      <alignment vertical="center"/>
    </xf>
    <xf numFmtId="168" fontId="1" fillId="0" borderId="6" xfId="2" applyNumberFormat="1" applyFont="1" applyBorder="1" applyAlignment="1" applyProtection="1">
      <alignment horizontal="center" vertical="center"/>
      <protection hidden="1"/>
    </xf>
    <xf numFmtId="2" fontId="0" fillId="0" borderId="0" xfId="0" applyNumberFormat="1" applyAlignment="1">
      <alignment vertical="center"/>
    </xf>
    <xf numFmtId="169" fontId="0" fillId="0" borderId="0" xfId="0" applyNumberFormat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8" fontId="1" fillId="0" borderId="0" xfId="2" applyNumberFormat="1" applyFont="1" applyAlignment="1" applyProtection="1">
      <alignment horizontal="center" vertical="center"/>
      <protection hidden="1"/>
    </xf>
    <xf numFmtId="170" fontId="0" fillId="0" borderId="0" xfId="0" applyNumberFormat="1" applyAlignment="1">
      <alignment horizontal="center" vertical="center"/>
    </xf>
    <xf numFmtId="0" fontId="28" fillId="0" borderId="0" xfId="0" applyFont="1"/>
    <xf numFmtId="2" fontId="28" fillId="0" borderId="0" xfId="0" applyNumberFormat="1" applyFont="1" applyAlignment="1">
      <alignment horizontal="center"/>
    </xf>
    <xf numFmtId="2" fontId="28" fillId="7" borderId="0" xfId="0" applyNumberFormat="1" applyFont="1" applyFill="1" applyAlignment="1">
      <alignment horizontal="center"/>
    </xf>
    <xf numFmtId="0" fontId="15" fillId="6" borderId="0" xfId="0" applyFont="1" applyFill="1" applyAlignment="1">
      <alignment horizontal="center" vertical="center" wrapText="1"/>
    </xf>
    <xf numFmtId="2" fontId="0" fillId="0" borderId="0" xfId="1" applyNumberFormat="1" applyFont="1" applyAlignment="1">
      <alignment horizontal="center" vertical="center"/>
    </xf>
    <xf numFmtId="166" fontId="28" fillId="0" borderId="0" xfId="0" applyNumberFormat="1" applyFont="1" applyAlignment="1">
      <alignment horizontal="center" vertical="center"/>
    </xf>
    <xf numFmtId="166" fontId="0" fillId="7" borderId="0" xfId="0" applyNumberFormat="1" applyFill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6" fontId="28" fillId="0" borderId="0" xfId="0" applyNumberFormat="1" applyFont="1"/>
    <xf numFmtId="6" fontId="0" fillId="0" borderId="0" xfId="0" applyNumberFormat="1" applyAlignment="1">
      <alignment vertic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6" borderId="0" xfId="0" applyFill="1"/>
    <xf numFmtId="166" fontId="26" fillId="7" borderId="0" xfId="0" applyNumberFormat="1" applyFont="1" applyFill="1" applyAlignment="1">
      <alignment horizontal="center" vertical="center"/>
    </xf>
    <xf numFmtId="0" fontId="31" fillId="0" borderId="24" xfId="0" applyFont="1" applyBorder="1" applyAlignment="1">
      <alignment horizontal="left" vertical="center"/>
    </xf>
    <xf numFmtId="0" fontId="31" fillId="0" borderId="25" xfId="0" applyFont="1" applyBorder="1" applyAlignment="1">
      <alignment horizontal="left" vertical="center"/>
    </xf>
    <xf numFmtId="0" fontId="31" fillId="0" borderId="25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6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1" fontId="0" fillId="0" borderId="6" xfId="0" applyNumberFormat="1" applyBorder="1"/>
    <xf numFmtId="2" fontId="0" fillId="0" borderId="6" xfId="0" applyNumberFormat="1" applyBorder="1"/>
    <xf numFmtId="0" fontId="31" fillId="0" borderId="6" xfId="0" applyFont="1" applyBorder="1" applyAlignment="1">
      <alignment horizontal="center" vertical="center"/>
    </xf>
    <xf numFmtId="171" fontId="31" fillId="0" borderId="6" xfId="0" applyNumberFormat="1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172" fontId="0" fillId="0" borderId="0" xfId="0" applyNumberFormat="1" applyAlignment="1">
      <alignment horizontal="center"/>
    </xf>
    <xf numFmtId="0" fontId="31" fillId="0" borderId="8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1" fontId="0" fillId="0" borderId="9" xfId="0" applyNumberFormat="1" applyBorder="1"/>
    <xf numFmtId="2" fontId="0" fillId="0" borderId="9" xfId="0" applyNumberFormat="1" applyBorder="1"/>
    <xf numFmtId="0" fontId="31" fillId="0" borderId="9" xfId="0" applyFont="1" applyBorder="1" applyAlignment="1">
      <alignment horizontal="center" vertical="center"/>
    </xf>
    <xf numFmtId="171" fontId="31" fillId="0" borderId="9" xfId="0" applyNumberFormat="1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1" fillId="0" borderId="6" xfId="0" applyFont="1" applyBorder="1" applyAlignment="1">
      <alignment horizontal="center" vertical="center" wrapText="1" readingOrder="1"/>
    </xf>
    <xf numFmtId="165" fontId="0" fillId="0" borderId="9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0" xfId="0" applyNumberFormat="1"/>
    <xf numFmtId="9" fontId="0" fillId="0" borderId="0" xfId="0" applyNumberFormat="1" applyAlignment="1">
      <alignment horizontal="center"/>
    </xf>
    <xf numFmtId="0" fontId="15" fillId="0" borderId="0" xfId="0" applyFont="1" applyAlignment="1">
      <alignment vertical="center" wrapText="1"/>
    </xf>
    <xf numFmtId="0" fontId="0" fillId="4" borderId="15" xfId="0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2" fontId="0" fillId="4" borderId="6" xfId="0" applyNumberFormat="1" applyFill="1" applyBorder="1" applyAlignment="1">
      <alignment horizontal="center" vertical="center" wrapText="1"/>
    </xf>
    <xf numFmtId="2" fontId="0" fillId="4" borderId="11" xfId="0" applyNumberForma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2" fontId="2" fillId="4" borderId="6" xfId="0" applyNumberFormat="1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>
      <alignment horizontal="center" vertical="center" wrapText="1"/>
    </xf>
    <xf numFmtId="165" fontId="0" fillId="4" borderId="6" xfId="0" applyNumberFormat="1" applyFill="1" applyBorder="1" applyAlignment="1">
      <alignment horizontal="center" vertical="center" wrapText="1"/>
    </xf>
    <xf numFmtId="164" fontId="2" fillId="4" borderId="13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</cellXfs>
  <cellStyles count="3">
    <cellStyle name="Normal" xfId="0" builtinId="0"/>
    <cellStyle name="Normal 2" xfId="2" xr:uid="{55E87A66-3454-2142-8F53-516507486B37}"/>
    <cellStyle name="Percent" xfId="1" builtinId="5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HD Library Transistor Density</a:t>
            </a:r>
          </a:p>
        </c:rich>
      </c:tx>
      <c:layout>
        <c:manualLayout>
          <c:xMode val="edge"/>
          <c:yMode val="edge"/>
          <c:x val="0.32391167952716482"/>
          <c:y val="1.42608420297332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54101838173999"/>
          <c:y val="0.1221690137290531"/>
          <c:w val="0.82649201889246315"/>
          <c:h val="0.71712406755033686"/>
        </c:manualLayout>
      </c:layout>
      <c:scatterChart>
        <c:scatterStyle val="lineMarker"/>
        <c:varyColors val="0"/>
        <c:ser>
          <c:idx val="17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F0EE-E74A-B63F-909372348EB3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F0EE-E74A-B63F-909372348EB3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F0EE-E74A-B63F-909372348EB3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F0EE-E74A-B63F-909372348EB3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F0EE-E74A-B63F-909372348EB3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F0EE-E74A-B63F-909372348EB3}"/>
              </c:ext>
            </c:extLst>
          </c:dPt>
          <c:xVal>
            <c:strRef>
              <c:f>#REF!</c:f>
              <c:strCache>
                <c:ptCount val="12"/>
                <c:pt idx="0">
                  <c:v>44926</c:v>
                </c:pt>
                <c:pt idx="1">
                  <c:v>45291</c:v>
                </c:pt>
                <c:pt idx="2">
                  <c:v>45291</c:v>
                </c:pt>
                <c:pt idx="3">
                  <c:v>45382</c:v>
                </c:pt>
                <c:pt idx="4">
                  <c:v>45382</c:v>
                </c:pt>
                <c:pt idx="5">
                  <c:v>45473</c:v>
                </c:pt>
                <c:pt idx="6">
                  <c:v>45473</c:v>
                </c:pt>
                <c:pt idx="7">
                  <c:v>45565</c:v>
                </c:pt>
                <c:pt idx="8">
                  <c:v>45565</c:v>
                </c:pt>
                <c:pt idx="9">
                  <c:v>45838</c:v>
                </c:pt>
                <c:pt idx="10">
                  <c:v>45838</c:v>
                </c:pt>
                <c:pt idx="11">
                  <c:v>46233</c:v>
                </c:pt>
              </c:strCache>
            </c:strRef>
          </c:xVal>
          <c:yVal>
            <c:numRef>
              <c:f>#REF!</c:f>
              <c:numCache>
                <c:formatCode>General</c:formatCode>
                <c:ptCount val="12"/>
                <c:pt idx="0">
                  <c:v>120.63492063492065</c:v>
                </c:pt>
                <c:pt idx="1">
                  <c:v>120.63492063492065</c:v>
                </c:pt>
                <c:pt idx="2">
                  <c:v>130.15873015873018</c:v>
                </c:pt>
                <c:pt idx="3">
                  <c:v>130.15873015873018</c:v>
                </c:pt>
                <c:pt idx="4">
                  <c:v>175.95555555555509</c:v>
                </c:pt>
                <c:pt idx="5">
                  <c:v>175.95555555555509</c:v>
                </c:pt>
                <c:pt idx="6">
                  <c:v>197.95000000000002</c:v>
                </c:pt>
                <c:pt idx="7">
                  <c:v>197.95000000000002</c:v>
                </c:pt>
                <c:pt idx="8">
                  <c:v>197.95000000000002</c:v>
                </c:pt>
                <c:pt idx="9">
                  <c:v>197.95000000000002</c:v>
                </c:pt>
                <c:pt idx="10">
                  <c:v>229.10879629629625</c:v>
                </c:pt>
                <c:pt idx="11">
                  <c:v>229.10879629629625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0EE-E74A-B63F-909372348EB3}"/>
            </c:ext>
          </c:extLst>
        </c:ser>
        <c:ser>
          <c:idx val="0"/>
          <c:order val="1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F0EE-E74A-B63F-909372348EB3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F0EE-E74A-B63F-909372348EB3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F0EE-E74A-B63F-909372348EB3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F0EE-E74A-B63F-909372348EB3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F0EE-E74A-B63F-909372348EB3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F0EE-E74A-B63F-909372348EB3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F0EE-E74A-B63F-909372348EB3}"/>
              </c:ext>
            </c:extLst>
          </c:dPt>
          <c:xVal>
            <c:strRef>
              <c:f>#REF!</c:f>
              <c:strCache>
                <c:ptCount val="14"/>
                <c:pt idx="0">
                  <c:v>43100</c:v>
                </c:pt>
                <c:pt idx="1">
                  <c:v>43646</c:v>
                </c:pt>
                <c:pt idx="2">
                  <c:v>43646</c:v>
                </c:pt>
                <c:pt idx="3">
                  <c:v>44012</c:v>
                </c:pt>
                <c:pt idx="4">
                  <c:v>44012</c:v>
                </c:pt>
                <c:pt idx="5">
                  <c:v>44561</c:v>
                </c:pt>
                <c:pt idx="6">
                  <c:v>44561</c:v>
                </c:pt>
                <c:pt idx="7">
                  <c:v>44926</c:v>
                </c:pt>
                <c:pt idx="8">
                  <c:v>44926</c:v>
                </c:pt>
                <c:pt idx="9">
                  <c:v>45291</c:v>
                </c:pt>
                <c:pt idx="10">
                  <c:v>45291</c:v>
                </c:pt>
                <c:pt idx="11">
                  <c:v>45838</c:v>
                </c:pt>
                <c:pt idx="12">
                  <c:v>45838</c:v>
                </c:pt>
                <c:pt idx="13">
                  <c:v>46203</c:v>
                </c:pt>
              </c:strCache>
            </c:strRef>
          </c:xVal>
          <c:yVal>
            <c:numRef>
              <c:f>#REF!</c:f>
              <c:numCache>
                <c:formatCode>General</c:formatCode>
                <c:ptCount val="14"/>
                <c:pt idx="0">
                  <c:v>79.847053531264066</c:v>
                </c:pt>
                <c:pt idx="1">
                  <c:v>79.847053531264066</c:v>
                </c:pt>
                <c:pt idx="2">
                  <c:v>97.465886939571149</c:v>
                </c:pt>
                <c:pt idx="3">
                  <c:v>97.465886939571149</c:v>
                </c:pt>
                <c:pt idx="4">
                  <c:v>137.59889920880636</c:v>
                </c:pt>
                <c:pt idx="5">
                  <c:v>137.59889920880636</c:v>
                </c:pt>
                <c:pt idx="6">
                  <c:v>143.27248980508784</c:v>
                </c:pt>
                <c:pt idx="7">
                  <c:v>143.27248980508784</c:v>
                </c:pt>
                <c:pt idx="8">
                  <c:v>203.77218934911244</c:v>
                </c:pt>
                <c:pt idx="9">
                  <c:v>203.77218934911244</c:v>
                </c:pt>
                <c:pt idx="10">
                  <c:v>206.625</c:v>
                </c:pt>
                <c:pt idx="11">
                  <c:v>206.625</c:v>
                </c:pt>
                <c:pt idx="12">
                  <c:v>260.4727272727273</c:v>
                </c:pt>
                <c:pt idx="13">
                  <c:v>260.4727272727273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0EE-E74A-B63F-909372348EB3}"/>
            </c:ext>
          </c:extLst>
        </c:ser>
        <c:ser>
          <c:idx val="1"/>
          <c:order val="2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  <a:effectLst/>
            </c:spPr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F0EE-E74A-B63F-909372348EB3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F0EE-E74A-B63F-909372348EB3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F0EE-E74A-B63F-909372348EB3}"/>
              </c:ext>
            </c:extLst>
          </c:dPt>
          <c:xVal>
            <c:strRef>
              <c:f>#REF!</c:f>
              <c:strCache>
                <c:ptCount val="12"/>
                <c:pt idx="0">
                  <c:v>44104</c:v>
                </c:pt>
                <c:pt idx="1">
                  <c:v>44469</c:v>
                </c:pt>
                <c:pt idx="2">
                  <c:v>44469</c:v>
                </c:pt>
                <c:pt idx="3">
                  <c:v>44561</c:v>
                </c:pt>
                <c:pt idx="4">
                  <c:v>44561</c:v>
                </c:pt>
                <c:pt idx="5">
                  <c:v>44926</c:v>
                </c:pt>
                <c:pt idx="6">
                  <c:v>44926</c:v>
                </c:pt>
                <c:pt idx="7">
                  <c:v>44834</c:v>
                </c:pt>
                <c:pt idx="8">
                  <c:v>44834</c:v>
                </c:pt>
                <c:pt idx="9">
                  <c:v>45199</c:v>
                </c:pt>
                <c:pt idx="10">
                  <c:v>45199</c:v>
                </c:pt>
                <c:pt idx="11">
                  <c:v>45565</c:v>
                </c:pt>
              </c:strCache>
            </c:strRef>
          </c:xVal>
          <c:yVal>
            <c:numRef>
              <c:f>#REF!</c:f>
              <c:numCache>
                <c:formatCode>General</c:formatCode>
                <c:ptCount val="12"/>
                <c:pt idx="0">
                  <c:v>117.57789535567332</c:v>
                </c:pt>
                <c:pt idx="1">
                  <c:v>117.57789535567332</c:v>
                </c:pt>
                <c:pt idx="2">
                  <c:v>117.57789535567332</c:v>
                </c:pt>
                <c:pt idx="3">
                  <c:v>117.57789535567332</c:v>
                </c:pt>
                <c:pt idx="4">
                  <c:v>136.45224171539962</c:v>
                </c:pt>
                <c:pt idx="5">
                  <c:v>136.45224171539962</c:v>
                </c:pt>
                <c:pt idx="6">
                  <c:v>136.45224171539962</c:v>
                </c:pt>
                <c:pt idx="7">
                  <c:v>136.45224171539962</c:v>
                </c:pt>
                <c:pt idx="8">
                  <c:v>136.45224171539962</c:v>
                </c:pt>
                <c:pt idx="9">
                  <c:v>136.45224171539962</c:v>
                </c:pt>
                <c:pt idx="10">
                  <c:v>202.70270270270268</c:v>
                </c:pt>
                <c:pt idx="11">
                  <c:v>202.70270270270268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F0EE-E74A-B63F-909372348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564704"/>
        <c:axId val="240565096"/>
      </c:scatterChart>
      <c:valAx>
        <c:axId val="240564704"/>
        <c:scaling>
          <c:orientation val="minMax"/>
          <c:max val="46392"/>
          <c:min val="42736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HVM Ready Date</a:t>
                </a:r>
              </a:p>
            </c:rich>
          </c:tx>
          <c:layout>
            <c:manualLayout>
              <c:xMode val="edge"/>
              <c:yMode val="edge"/>
              <c:x val="0.44502156557075673"/>
              <c:y val="0.93472838528437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Intel Clear" panose="020B0604020203020204" pitchFamily="34" charset="0"/>
                <a:ea typeface="Intel Clear" panose="020B0604020203020204" pitchFamily="34" charset="0"/>
                <a:cs typeface="Intel Clear" panose="020B0604020203020204" pitchFamily="34" charset="0"/>
              </a:defRPr>
            </a:pPr>
            <a:endParaRPr lang="en-US"/>
          </a:p>
        </c:txPr>
        <c:crossAx val="240565096"/>
        <c:crosses val="autoZero"/>
        <c:crossBetween val="midCat"/>
        <c:majorUnit val="365.5"/>
      </c:valAx>
      <c:valAx>
        <c:axId val="240565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Transistor</a:t>
                </a:r>
                <a:r>
                  <a:rPr lang="en-US" sz="1800" baseline="0"/>
                  <a:t> Density (MTr/mm</a:t>
                </a:r>
                <a:r>
                  <a:rPr lang="en-US" sz="1800" baseline="30000"/>
                  <a:t>2</a:t>
                </a:r>
                <a:r>
                  <a:rPr lang="en-US" sz="1800" baseline="0"/>
                  <a:t>)</a:t>
                </a:r>
                <a:endParaRPr lang="en-US" sz="1800"/>
              </a:p>
            </c:rich>
          </c:tx>
          <c:layout>
            <c:manualLayout>
              <c:xMode val="edge"/>
              <c:yMode val="edge"/>
              <c:x val="1.5167852240416028E-2"/>
              <c:y val="0.22282446851175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Intel Clear" panose="020B0604020203020204" pitchFamily="34" charset="0"/>
                <a:ea typeface="Intel Clear" panose="020B0604020203020204" pitchFamily="34" charset="0"/>
                <a:cs typeface="Intel Clear" panose="020B0604020203020204" pitchFamily="34" charset="0"/>
              </a:defRPr>
            </a:pPr>
            <a:endParaRPr lang="en-US"/>
          </a:p>
        </c:txPr>
        <c:crossAx val="240564704"/>
        <c:crosses val="autoZero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400" baseline="0">
                <a:solidFill>
                  <a:schemeClr val="tx1"/>
                </a:solidFill>
              </a:rPr>
              <a:t>'24 Adv. Fanout Package by Suppliers</a:t>
            </a:r>
            <a:endParaRPr lang="en-US" sz="2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5234285714285714"/>
          <c:y val="6.16566257039719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'2.3D with Emb Brdg'!$Q$1</c:f>
              <c:strCache>
                <c:ptCount val="1"/>
                <c:pt idx="0">
                  <c:v>SPIL</c:v>
                </c:pt>
              </c:strCache>
            </c:strRef>
          </c:tx>
          <c:spPr>
            <a:ln w="444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'2.3D with Emb Brdg'!$P$2:$P$9</c:f>
              <c:strCache>
                <c:ptCount val="8"/>
                <c:pt idx="0">
                  <c:v>µB Pitch
[µm]</c:v>
                </c:pt>
                <c:pt idx="1">
                  <c:v>TMV Pitch
[µm]</c:v>
                </c:pt>
                <c:pt idx="2">
                  <c:v>C4 Bump Pitch
[µm]</c:v>
                </c:pt>
                <c:pt idx="3">
                  <c:v>RDL Pitch
[µm]</c:v>
                </c:pt>
                <c:pt idx="4">
                  <c:v>Number of
RDL layers</c:v>
                </c:pt>
                <c:pt idx="5">
                  <c:v>Number of
Embedded Die</c:v>
                </c:pt>
                <c:pt idx="6">
                  <c:v>Module Sizes 
[x reticle]</c:v>
                </c:pt>
                <c:pt idx="7">
                  <c:v>Package Sizes 
[mm] square</c:v>
                </c:pt>
              </c:strCache>
            </c:strRef>
          </c:cat>
          <c:val>
            <c:numRef>
              <c:f>'2.3D with Emb Brdg'!$Q$2:$Q$9</c:f>
              <c:numCache>
                <c:formatCode>0.00</c:formatCode>
                <c:ptCount val="8"/>
                <c:pt idx="0">
                  <c:v>3.5</c:v>
                </c:pt>
                <c:pt idx="1">
                  <c:v>3</c:v>
                </c:pt>
                <c:pt idx="2">
                  <c:v>4</c:v>
                </c:pt>
                <c:pt idx="3">
                  <c:v>1.6780719051126378</c:v>
                </c:pt>
                <c:pt idx="4">
                  <c:v>2.5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F-004F-A510-50DC2807F03D}"/>
            </c:ext>
          </c:extLst>
        </c:ser>
        <c:ser>
          <c:idx val="1"/>
          <c:order val="1"/>
          <c:tx>
            <c:strRef>
              <c:f>'2.3D with Emb Brdg'!$R$1</c:f>
              <c:strCache>
                <c:ptCount val="1"/>
                <c:pt idx="0">
                  <c:v>ASE</c:v>
                </c:pt>
              </c:strCache>
            </c:strRef>
          </c:tx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'2.3D with Emb Brdg'!$P$2:$P$9</c:f>
              <c:strCache>
                <c:ptCount val="8"/>
                <c:pt idx="0">
                  <c:v>µB Pitch
[µm]</c:v>
                </c:pt>
                <c:pt idx="1">
                  <c:v>TMV Pitch
[µm]</c:v>
                </c:pt>
                <c:pt idx="2">
                  <c:v>C4 Bump Pitch
[µm]</c:v>
                </c:pt>
                <c:pt idx="3">
                  <c:v>RDL Pitch
[µm]</c:v>
                </c:pt>
                <c:pt idx="4">
                  <c:v>Number of
RDL layers</c:v>
                </c:pt>
                <c:pt idx="5">
                  <c:v>Number of
Embedded Die</c:v>
                </c:pt>
                <c:pt idx="6">
                  <c:v>Module Sizes 
[x reticle]</c:v>
                </c:pt>
                <c:pt idx="7">
                  <c:v>Package Sizes 
[mm] square</c:v>
                </c:pt>
              </c:strCache>
            </c:strRef>
          </c:cat>
          <c:val>
            <c:numRef>
              <c:f>'2.3D with Emb Brdg'!$R$2:$R$9</c:f>
              <c:numCache>
                <c:formatCode>0.00</c:formatCode>
                <c:ptCount val="8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0.67807190511263771</c:v>
                </c:pt>
                <c:pt idx="4">
                  <c:v>2</c:v>
                </c:pt>
                <c:pt idx="5">
                  <c:v>1.3333333333333333</c:v>
                </c:pt>
                <c:pt idx="6">
                  <c:v>3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F-004F-A510-50DC2807F03D}"/>
            </c:ext>
          </c:extLst>
        </c:ser>
        <c:ser>
          <c:idx val="2"/>
          <c:order val="2"/>
          <c:tx>
            <c:strRef>
              <c:f>'2.3D with Emb Brdg'!$S$1</c:f>
              <c:strCache>
                <c:ptCount val="1"/>
                <c:pt idx="0">
                  <c:v>JCET</c:v>
                </c:pt>
              </c:strCache>
            </c:strRef>
          </c:tx>
          <c:spPr>
            <a:ln w="444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'2.3D with Emb Brdg'!$P$2:$P$9</c:f>
              <c:strCache>
                <c:ptCount val="8"/>
                <c:pt idx="0">
                  <c:v>µB Pitch
[µm]</c:v>
                </c:pt>
                <c:pt idx="1">
                  <c:v>TMV Pitch
[µm]</c:v>
                </c:pt>
                <c:pt idx="2">
                  <c:v>C4 Bump Pitch
[µm]</c:v>
                </c:pt>
                <c:pt idx="3">
                  <c:v>RDL Pitch
[µm]</c:v>
                </c:pt>
                <c:pt idx="4">
                  <c:v>Number of
RDL layers</c:v>
                </c:pt>
                <c:pt idx="5">
                  <c:v>Number of
Embedded Die</c:v>
                </c:pt>
                <c:pt idx="6">
                  <c:v>Module Sizes 
[x reticle]</c:v>
                </c:pt>
                <c:pt idx="7">
                  <c:v>Package Sizes 
[mm] square</c:v>
                </c:pt>
              </c:strCache>
            </c:strRef>
          </c:cat>
          <c:val>
            <c:numRef>
              <c:f>'2.3D with Emb Brdg'!$S$2:$S$9</c:f>
              <c:numCache>
                <c:formatCode>0.00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3.5</c:v>
                </c:pt>
                <c:pt idx="5">
                  <c:v>1.3333333333333333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BF-004F-A510-50DC2807F03D}"/>
            </c:ext>
          </c:extLst>
        </c:ser>
        <c:ser>
          <c:idx val="3"/>
          <c:order val="3"/>
          <c:tx>
            <c:strRef>
              <c:f>'2.3D with Emb Brdg'!$T$1</c:f>
              <c:strCache>
                <c:ptCount val="1"/>
                <c:pt idx="0">
                  <c:v>Amkor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25400" cap="rnd">
                <a:solidFill>
                  <a:srgbClr val="FFC000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BCBF-004F-A510-50DC2807F03D}"/>
              </c:ext>
            </c:extLst>
          </c:dPt>
          <c:cat>
            <c:strRef>
              <c:f>'2.3D with Emb Brdg'!$P$2:$P$9</c:f>
              <c:strCache>
                <c:ptCount val="8"/>
                <c:pt idx="0">
                  <c:v>µB Pitch
[µm]</c:v>
                </c:pt>
                <c:pt idx="1">
                  <c:v>TMV Pitch
[µm]</c:v>
                </c:pt>
                <c:pt idx="2">
                  <c:v>C4 Bump Pitch
[µm]</c:v>
                </c:pt>
                <c:pt idx="3">
                  <c:v>RDL Pitch
[µm]</c:v>
                </c:pt>
                <c:pt idx="4">
                  <c:v>Number of
RDL layers</c:v>
                </c:pt>
                <c:pt idx="5">
                  <c:v>Number of
Embedded Die</c:v>
                </c:pt>
                <c:pt idx="6">
                  <c:v>Module Sizes 
[x reticle]</c:v>
                </c:pt>
                <c:pt idx="7">
                  <c:v>Package Sizes 
[mm] square</c:v>
                </c:pt>
              </c:strCache>
            </c:strRef>
          </c:cat>
          <c:val>
            <c:numRef>
              <c:f>'2.3D with Emb Brdg'!$T$2:$T$9</c:f>
              <c:numCache>
                <c:formatCode>0.00</c:formatCode>
                <c:ptCount val="8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0.67807190511263771</c:v>
                </c:pt>
                <c:pt idx="4">
                  <c:v>2</c:v>
                </c:pt>
                <c:pt idx="5">
                  <c:v>1.3333333333333333</c:v>
                </c:pt>
                <c:pt idx="6">
                  <c:v>3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BF-004F-A510-50DC2807F03D}"/>
            </c:ext>
          </c:extLst>
        </c:ser>
        <c:ser>
          <c:idx val="4"/>
          <c:order val="4"/>
          <c:tx>
            <c:strRef>
              <c:f>'2.3D with Emb Brdg'!$U$1</c:f>
              <c:strCache>
                <c:ptCount val="1"/>
                <c:pt idx="0">
                  <c:v>TSMC'22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'2.3D with Emb Brdg'!$P$2:$P$9</c:f>
              <c:strCache>
                <c:ptCount val="8"/>
                <c:pt idx="0">
                  <c:v>µB Pitch
[µm]</c:v>
                </c:pt>
                <c:pt idx="1">
                  <c:v>TMV Pitch
[µm]</c:v>
                </c:pt>
                <c:pt idx="2">
                  <c:v>C4 Bump Pitch
[µm]</c:v>
                </c:pt>
                <c:pt idx="3">
                  <c:v>RDL Pitch
[µm]</c:v>
                </c:pt>
                <c:pt idx="4">
                  <c:v>Number of
RDL layers</c:v>
                </c:pt>
                <c:pt idx="5">
                  <c:v>Number of
Embedded Die</c:v>
                </c:pt>
                <c:pt idx="6">
                  <c:v>Module Sizes 
[x reticle]</c:v>
                </c:pt>
                <c:pt idx="7">
                  <c:v>Package Sizes 
[mm] square</c:v>
                </c:pt>
              </c:strCache>
            </c:strRef>
          </c:cat>
          <c:val>
            <c:numRef>
              <c:f>'2.3D with Emb Brdg'!$U$2:$U$9</c:f>
              <c:numCache>
                <c:formatCode>0.00</c:formatCode>
                <c:ptCount val="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3.8624964762500649</c:v>
                </c:pt>
                <c:pt idx="4">
                  <c:v>2</c:v>
                </c:pt>
                <c:pt idx="5">
                  <c:v>0.33333333333333331</c:v>
                </c:pt>
                <c:pt idx="6">
                  <c:v>1</c:v>
                </c:pt>
                <c:pt idx="7">
                  <c:v>2.7364210202379313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CBF-004F-A510-50DC2807F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367360"/>
        <c:axId val="680134768"/>
      </c:radarChart>
      <c:catAx>
        <c:axId val="68736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134768"/>
        <c:crosses val="autoZero"/>
        <c:auto val="1"/>
        <c:lblAlgn val="ctr"/>
        <c:lblOffset val="100"/>
        <c:noMultiLvlLbl val="0"/>
      </c:catAx>
      <c:valAx>
        <c:axId val="680134768"/>
        <c:scaling>
          <c:orientation val="minMax"/>
          <c:max val="4"/>
          <c:min val="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6873673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0826996625421824E-2"/>
          <c:y val="0.12773204980843192"/>
          <c:w val="0.83069650800360351"/>
          <c:h val="5.1838929555219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HP Library Transistor Density</a:t>
            </a:r>
          </a:p>
        </c:rich>
      </c:tx>
      <c:layout>
        <c:manualLayout>
          <c:xMode val="edge"/>
          <c:yMode val="edge"/>
          <c:x val="0.31950262992914569"/>
          <c:y val="1.4244678715197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54101838173999"/>
          <c:y val="0.1221690137290531"/>
          <c:w val="0.82649201889246315"/>
          <c:h val="0.71712406755033686"/>
        </c:manualLayout>
      </c:layout>
      <c:scatterChart>
        <c:scatterStyle val="lineMarker"/>
        <c:varyColors val="0"/>
        <c:ser>
          <c:idx val="17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73DE-3141-B968-CD0E4395E3B1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73DE-3141-B968-CD0E4395E3B1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73DE-3141-B968-CD0E4395E3B1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73DE-3141-B968-CD0E4395E3B1}"/>
              </c:ext>
            </c:extLst>
          </c:dPt>
          <c:dPt>
            <c:idx val="10"/>
            <c:marker>
              <c:symbol val="circle"/>
              <c:size val="9"/>
              <c:spPr>
                <a:solidFill>
                  <a:schemeClr val="accent1"/>
                </a:solidFill>
                <a:ln w="1905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73DE-3141-B968-CD0E4395E3B1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47625" cap="rnd">
                <a:solidFill>
                  <a:srgbClr val="0070C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3DE-3141-B968-CD0E4395E3B1}"/>
              </c:ext>
            </c:extLst>
          </c:dPt>
          <c:xVal>
            <c:strRef>
              <c:f>#REF!</c:f>
              <c:strCache>
                <c:ptCount val="12"/>
                <c:pt idx="0">
                  <c:v>44926</c:v>
                </c:pt>
                <c:pt idx="1">
                  <c:v>45291</c:v>
                </c:pt>
                <c:pt idx="2">
                  <c:v>45291</c:v>
                </c:pt>
                <c:pt idx="3">
                  <c:v>45382</c:v>
                </c:pt>
                <c:pt idx="4">
                  <c:v>45382</c:v>
                </c:pt>
                <c:pt idx="5">
                  <c:v>45473</c:v>
                </c:pt>
                <c:pt idx="6">
                  <c:v>45473</c:v>
                </c:pt>
                <c:pt idx="7">
                  <c:v>45565</c:v>
                </c:pt>
                <c:pt idx="8">
                  <c:v>45565</c:v>
                </c:pt>
                <c:pt idx="9">
                  <c:v>45838</c:v>
                </c:pt>
                <c:pt idx="10">
                  <c:v>45838</c:v>
                </c:pt>
                <c:pt idx="11">
                  <c:v>46233</c:v>
                </c:pt>
              </c:strCache>
            </c:strRef>
          </c:xVal>
          <c:yVal>
            <c:numRef>
              <c:f>#REF!</c:f>
              <c:numCache>
                <c:formatCode>General</c:formatCode>
                <c:ptCount val="12"/>
                <c:pt idx="0">
                  <c:v>120.63492063492065</c:v>
                </c:pt>
                <c:pt idx="1">
                  <c:v>120.63492063492065</c:v>
                </c:pt>
                <c:pt idx="2">
                  <c:v>130.15873015873018</c:v>
                </c:pt>
                <c:pt idx="3">
                  <c:v>130.15873015873018</c:v>
                </c:pt>
                <c:pt idx="4">
                  <c:v>175.95555555555509</c:v>
                </c:pt>
                <c:pt idx="5">
                  <c:v>175.95555555555509</c:v>
                </c:pt>
                <c:pt idx="6">
                  <c:v>197.95000000000002</c:v>
                </c:pt>
                <c:pt idx="7">
                  <c:v>197.95000000000002</c:v>
                </c:pt>
                <c:pt idx="8">
                  <c:v>197.95000000000002</c:v>
                </c:pt>
                <c:pt idx="9">
                  <c:v>197.95000000000002</c:v>
                </c:pt>
                <c:pt idx="10">
                  <c:v>214.23160173160176</c:v>
                </c:pt>
                <c:pt idx="11">
                  <c:v>214.23160173160176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3DE-3141-B968-CD0E4395E3B1}"/>
            </c:ext>
          </c:extLst>
        </c:ser>
        <c:ser>
          <c:idx val="0"/>
          <c:order val="1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73DE-3141-B968-CD0E4395E3B1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73DE-3141-B968-CD0E4395E3B1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73DE-3141-B968-CD0E4395E3B1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73DE-3141-B968-CD0E4395E3B1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73DE-3141-B968-CD0E4395E3B1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73DE-3141-B968-CD0E4395E3B1}"/>
              </c:ext>
            </c:extLst>
          </c:dPt>
          <c:xVal>
            <c:strRef>
              <c:f>#REF!</c:f>
              <c:strCache>
                <c:ptCount val="14"/>
                <c:pt idx="0">
                  <c:v>43100</c:v>
                </c:pt>
                <c:pt idx="1">
                  <c:v>43646</c:v>
                </c:pt>
                <c:pt idx="2">
                  <c:v>43646</c:v>
                </c:pt>
                <c:pt idx="3">
                  <c:v>44012</c:v>
                </c:pt>
                <c:pt idx="4">
                  <c:v>44012</c:v>
                </c:pt>
                <c:pt idx="5">
                  <c:v>44561</c:v>
                </c:pt>
                <c:pt idx="6">
                  <c:v>44561</c:v>
                </c:pt>
                <c:pt idx="7">
                  <c:v>44926</c:v>
                </c:pt>
                <c:pt idx="8">
                  <c:v>44926</c:v>
                </c:pt>
                <c:pt idx="9">
                  <c:v>45291</c:v>
                </c:pt>
                <c:pt idx="10">
                  <c:v>45291</c:v>
                </c:pt>
                <c:pt idx="11">
                  <c:v>45838</c:v>
                </c:pt>
                <c:pt idx="12">
                  <c:v>45838</c:v>
                </c:pt>
                <c:pt idx="13">
                  <c:v>46203</c:v>
                </c:pt>
              </c:strCache>
            </c:strRef>
          </c:xVal>
          <c:yVal>
            <c:numRef>
              <c:f>#REF!</c:f>
              <c:numCache>
                <c:formatCode>General</c:formatCode>
                <c:ptCount val="14"/>
                <c:pt idx="0">
                  <c:v>79.847053531264066</c:v>
                </c:pt>
                <c:pt idx="1">
                  <c:v>79.847053531264066</c:v>
                </c:pt>
                <c:pt idx="2">
                  <c:v>97.465886939571149</c:v>
                </c:pt>
                <c:pt idx="3">
                  <c:v>97.465886939571149</c:v>
                </c:pt>
                <c:pt idx="4">
                  <c:v>137.59889920880636</c:v>
                </c:pt>
                <c:pt idx="5">
                  <c:v>137.59889920880636</c:v>
                </c:pt>
                <c:pt idx="6">
                  <c:v>143.27248980508784</c:v>
                </c:pt>
                <c:pt idx="7">
                  <c:v>143.27248980508784</c:v>
                </c:pt>
                <c:pt idx="8">
                  <c:v>179.15896027196098</c:v>
                </c:pt>
                <c:pt idx="9">
                  <c:v>179.15896027196098</c:v>
                </c:pt>
                <c:pt idx="10">
                  <c:v>181.66718571576845</c:v>
                </c:pt>
                <c:pt idx="11">
                  <c:v>181.66718571576845</c:v>
                </c:pt>
                <c:pt idx="12">
                  <c:v>214.69758311863544</c:v>
                </c:pt>
                <c:pt idx="13">
                  <c:v>214.69758311863544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3DE-3141-B968-CD0E4395E3B1}"/>
            </c:ext>
          </c:extLst>
        </c:ser>
        <c:ser>
          <c:idx val="1"/>
          <c:order val="2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  <a:effectLst/>
            </c:spPr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73DE-3141-B968-CD0E4395E3B1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73DE-3141-B968-CD0E4395E3B1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73DE-3141-B968-CD0E4395E3B1}"/>
              </c:ext>
            </c:extLst>
          </c:dPt>
          <c:xVal>
            <c:strRef>
              <c:f>#REF!</c:f>
              <c:strCache>
                <c:ptCount val="12"/>
                <c:pt idx="0">
                  <c:v>44104</c:v>
                </c:pt>
                <c:pt idx="1">
                  <c:v>44469</c:v>
                </c:pt>
                <c:pt idx="2">
                  <c:v>44469</c:v>
                </c:pt>
                <c:pt idx="3">
                  <c:v>44561</c:v>
                </c:pt>
                <c:pt idx="4">
                  <c:v>44561</c:v>
                </c:pt>
                <c:pt idx="5">
                  <c:v>44926</c:v>
                </c:pt>
                <c:pt idx="6">
                  <c:v>44926</c:v>
                </c:pt>
                <c:pt idx="7">
                  <c:v>44834</c:v>
                </c:pt>
                <c:pt idx="8">
                  <c:v>44834</c:v>
                </c:pt>
                <c:pt idx="9">
                  <c:v>45199</c:v>
                </c:pt>
                <c:pt idx="10">
                  <c:v>45199</c:v>
                </c:pt>
                <c:pt idx="11">
                  <c:v>45565</c:v>
                </c:pt>
              </c:strCache>
            </c:strRef>
          </c:xVal>
          <c:yVal>
            <c:numRef>
              <c:f>#REF!</c:f>
              <c:numCache>
                <c:formatCode>General</c:formatCode>
                <c:ptCount val="12"/>
                <c:pt idx="0">
                  <c:v>117.57789535567332</c:v>
                </c:pt>
                <c:pt idx="1">
                  <c:v>117.57789535567332</c:v>
                </c:pt>
                <c:pt idx="2">
                  <c:v>117.57789535567332</c:v>
                </c:pt>
                <c:pt idx="3">
                  <c:v>117.57789535567332</c:v>
                </c:pt>
                <c:pt idx="4">
                  <c:v>136.45224171539962</c:v>
                </c:pt>
                <c:pt idx="5">
                  <c:v>136.45224171539962</c:v>
                </c:pt>
                <c:pt idx="6">
                  <c:v>136.45224171539962</c:v>
                </c:pt>
                <c:pt idx="7">
                  <c:v>136.45224171539962</c:v>
                </c:pt>
                <c:pt idx="8">
                  <c:v>136.45224171539962</c:v>
                </c:pt>
                <c:pt idx="9">
                  <c:v>136.45224171539962</c:v>
                </c:pt>
                <c:pt idx="10">
                  <c:v>178.57142857142856</c:v>
                </c:pt>
                <c:pt idx="11">
                  <c:v>178.57142857142856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3DE-3141-B968-CD0E4395E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564704"/>
        <c:axId val="240565096"/>
      </c:scatterChart>
      <c:valAx>
        <c:axId val="240564704"/>
        <c:scaling>
          <c:orientation val="minMax"/>
          <c:max val="46392"/>
          <c:min val="42736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HVM Ready Date</a:t>
                </a:r>
              </a:p>
            </c:rich>
          </c:tx>
          <c:layout>
            <c:manualLayout>
              <c:xMode val="edge"/>
              <c:yMode val="edge"/>
              <c:x val="0.44502156557075673"/>
              <c:y val="0.93472838528437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Intel Clear" panose="020B0604020203020204" pitchFamily="34" charset="0"/>
                <a:ea typeface="Intel Clear" panose="020B0604020203020204" pitchFamily="34" charset="0"/>
                <a:cs typeface="Intel Clear" panose="020B0604020203020204" pitchFamily="34" charset="0"/>
              </a:defRPr>
            </a:pPr>
            <a:endParaRPr lang="en-US"/>
          </a:p>
        </c:txPr>
        <c:crossAx val="240565096"/>
        <c:crosses val="autoZero"/>
        <c:crossBetween val="midCat"/>
        <c:majorUnit val="365.5"/>
      </c:valAx>
      <c:valAx>
        <c:axId val="240565096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Transistor</a:t>
                </a:r>
                <a:r>
                  <a:rPr lang="en-US" sz="1800" baseline="0"/>
                  <a:t> Density (MTr/mm</a:t>
                </a:r>
                <a:r>
                  <a:rPr lang="en-US" sz="1800" baseline="30000"/>
                  <a:t>2</a:t>
                </a:r>
                <a:r>
                  <a:rPr lang="en-US" sz="1800" baseline="0"/>
                  <a:t>)</a:t>
                </a:r>
                <a:endParaRPr lang="en-US" sz="1800"/>
              </a:p>
            </c:rich>
          </c:tx>
          <c:layout>
            <c:manualLayout>
              <c:xMode val="edge"/>
              <c:yMode val="edge"/>
              <c:x val="1.5167852240416028E-2"/>
              <c:y val="0.22282446851175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Intel Clear" panose="020B0604020203020204" pitchFamily="34" charset="0"/>
                <a:ea typeface="Intel Clear" panose="020B0604020203020204" pitchFamily="34" charset="0"/>
                <a:cs typeface="Intel Clear" panose="020B0604020203020204" pitchFamily="34" charset="0"/>
              </a:defRPr>
            </a:pPr>
            <a:endParaRPr lang="en-US"/>
          </a:p>
        </c:txPr>
        <c:crossAx val="240564704"/>
        <c:crosses val="autoZero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Iso-Power Perf</a:t>
            </a:r>
          </a:p>
        </c:rich>
      </c:tx>
      <c:layout>
        <c:manualLayout>
          <c:xMode val="edge"/>
          <c:yMode val="edge"/>
          <c:x val="0.42164809714571855"/>
          <c:y val="1.4269753777458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54101838173999"/>
          <c:y val="0.1221690137290531"/>
          <c:w val="0.82649201889246315"/>
          <c:h val="0.71712406755033686"/>
        </c:manualLayout>
      </c:layout>
      <c:scatterChart>
        <c:scatterStyle val="lineMarker"/>
        <c:varyColors val="0"/>
        <c:ser>
          <c:idx val="17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05D7-624A-A3C4-DB3C8B691549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05D7-624A-A3C4-DB3C8B691549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05D7-624A-A3C4-DB3C8B691549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05D7-624A-A3C4-DB3C8B691549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05D7-624A-A3C4-DB3C8B691549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05D7-624A-A3C4-DB3C8B691549}"/>
              </c:ext>
            </c:extLst>
          </c:dPt>
          <c:xVal>
            <c:strRef>
              <c:f>#REF!</c:f>
              <c:strCache>
                <c:ptCount val="12"/>
                <c:pt idx="0">
                  <c:v>44926</c:v>
                </c:pt>
                <c:pt idx="1">
                  <c:v>45291</c:v>
                </c:pt>
                <c:pt idx="2">
                  <c:v>45291</c:v>
                </c:pt>
                <c:pt idx="3">
                  <c:v>45382</c:v>
                </c:pt>
                <c:pt idx="4">
                  <c:v>45382</c:v>
                </c:pt>
                <c:pt idx="5">
                  <c:v>45473</c:v>
                </c:pt>
                <c:pt idx="6">
                  <c:v>45473</c:v>
                </c:pt>
                <c:pt idx="7">
                  <c:v>45565</c:v>
                </c:pt>
                <c:pt idx="8">
                  <c:v>45565</c:v>
                </c:pt>
                <c:pt idx="9">
                  <c:v>45838</c:v>
                </c:pt>
                <c:pt idx="10">
                  <c:v>45838</c:v>
                </c:pt>
                <c:pt idx="11">
                  <c:v>46233</c:v>
                </c:pt>
              </c:strCache>
            </c:strRef>
          </c:xVal>
          <c:yVal>
            <c:numRef>
              <c:f>#REF!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1.21</c:v>
                </c:pt>
                <c:pt idx="3">
                  <c:v>1.21</c:v>
                </c:pt>
                <c:pt idx="4">
                  <c:v>1.3</c:v>
                </c:pt>
                <c:pt idx="5">
                  <c:v>1.3</c:v>
                </c:pt>
                <c:pt idx="6">
                  <c:v>1.35</c:v>
                </c:pt>
                <c:pt idx="7">
                  <c:v>1.35</c:v>
                </c:pt>
                <c:pt idx="8">
                  <c:v>1.4000000000000001</c:v>
                </c:pt>
                <c:pt idx="9">
                  <c:v>1.4000000000000001</c:v>
                </c:pt>
                <c:pt idx="10">
                  <c:v>1.4300000000000002</c:v>
                </c:pt>
                <c:pt idx="11">
                  <c:v>1.4300000000000002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5D7-624A-A3C4-DB3C8B691549}"/>
            </c:ext>
          </c:extLst>
        </c:ser>
        <c:ser>
          <c:idx val="0"/>
          <c:order val="1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19050">
                <a:solidFill>
                  <a:srgbClr val="FF0000"/>
                </a:solidFill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05D7-624A-A3C4-DB3C8B691549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05D7-624A-A3C4-DB3C8B691549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05D7-624A-A3C4-DB3C8B691549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05D7-624A-A3C4-DB3C8B691549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05D7-624A-A3C4-DB3C8B691549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05D7-624A-A3C4-DB3C8B691549}"/>
              </c:ext>
            </c:extLst>
          </c:dPt>
          <c:xVal>
            <c:strRef>
              <c:f>#REF!</c:f>
              <c:strCache>
                <c:ptCount val="14"/>
                <c:pt idx="0">
                  <c:v>43100</c:v>
                </c:pt>
                <c:pt idx="1">
                  <c:v>43646</c:v>
                </c:pt>
                <c:pt idx="2">
                  <c:v>43646</c:v>
                </c:pt>
                <c:pt idx="3">
                  <c:v>44012</c:v>
                </c:pt>
                <c:pt idx="4">
                  <c:v>44012</c:v>
                </c:pt>
                <c:pt idx="5">
                  <c:v>44561</c:v>
                </c:pt>
                <c:pt idx="6">
                  <c:v>44561</c:v>
                </c:pt>
                <c:pt idx="7">
                  <c:v>44926</c:v>
                </c:pt>
                <c:pt idx="8">
                  <c:v>44926</c:v>
                </c:pt>
                <c:pt idx="9">
                  <c:v>45291</c:v>
                </c:pt>
                <c:pt idx="10">
                  <c:v>45291</c:v>
                </c:pt>
                <c:pt idx="11">
                  <c:v>45838</c:v>
                </c:pt>
                <c:pt idx="12">
                  <c:v>45838</c:v>
                </c:pt>
                <c:pt idx="13">
                  <c:v>46203</c:v>
                </c:pt>
              </c:strCache>
            </c:strRef>
          </c:xVal>
          <c:yVal>
            <c:numRef>
              <c:f>#REF!</c:f>
              <c:numCache>
                <c:formatCode>General</c:formatCode>
                <c:ptCount val="14"/>
                <c:pt idx="0">
                  <c:v>0.95652173913043492</c:v>
                </c:pt>
                <c:pt idx="1">
                  <c:v>0.95652173913043492</c:v>
                </c:pt>
                <c:pt idx="2">
                  <c:v>0.98521739130434793</c:v>
                </c:pt>
                <c:pt idx="3">
                  <c:v>0.98521739130434793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1.2375</c:v>
                </c:pt>
                <c:pt idx="9">
                  <c:v>1.2375</c:v>
                </c:pt>
                <c:pt idx="10">
                  <c:v>1.2993750000000002</c:v>
                </c:pt>
                <c:pt idx="11">
                  <c:v>1.2993750000000002</c:v>
                </c:pt>
                <c:pt idx="12">
                  <c:v>1.3921875000000001</c:v>
                </c:pt>
                <c:pt idx="13">
                  <c:v>1.3921875000000001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5D7-624A-A3C4-DB3C8B691549}"/>
            </c:ext>
          </c:extLst>
        </c:ser>
        <c:ser>
          <c:idx val="1"/>
          <c:order val="2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05D7-624A-A3C4-DB3C8B691549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05D7-624A-A3C4-DB3C8B691549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05D7-624A-A3C4-DB3C8B691549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05D7-624A-A3C4-DB3C8B691549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05D7-624A-A3C4-DB3C8B691549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3-05D7-624A-A3C4-DB3C8B691549}"/>
              </c:ext>
            </c:extLst>
          </c:dPt>
          <c:xVal>
            <c:strRef>
              <c:f>#REF!</c:f>
              <c:strCache>
                <c:ptCount val="12"/>
                <c:pt idx="0">
                  <c:v>44104</c:v>
                </c:pt>
                <c:pt idx="1">
                  <c:v>44469</c:v>
                </c:pt>
                <c:pt idx="2">
                  <c:v>44469</c:v>
                </c:pt>
                <c:pt idx="3">
                  <c:v>44561</c:v>
                </c:pt>
                <c:pt idx="4">
                  <c:v>44561</c:v>
                </c:pt>
                <c:pt idx="5">
                  <c:v>44926</c:v>
                </c:pt>
                <c:pt idx="6">
                  <c:v>44926</c:v>
                </c:pt>
                <c:pt idx="7">
                  <c:v>44834</c:v>
                </c:pt>
                <c:pt idx="8">
                  <c:v>44834</c:v>
                </c:pt>
                <c:pt idx="9">
                  <c:v>45199</c:v>
                </c:pt>
                <c:pt idx="10">
                  <c:v>45199</c:v>
                </c:pt>
                <c:pt idx="11">
                  <c:v>45565</c:v>
                </c:pt>
              </c:strCache>
            </c:strRef>
          </c:xVal>
          <c:yVal>
            <c:numRef>
              <c:f>#REF!</c:f>
              <c:numCache>
                <c:formatCode>General</c:formatCode>
                <c:ptCount val="12"/>
                <c:pt idx="0">
                  <c:v>0.95775862068965545</c:v>
                </c:pt>
                <c:pt idx="1">
                  <c:v>0.95775862068965545</c:v>
                </c:pt>
                <c:pt idx="2">
                  <c:v>0.97691379310344861</c:v>
                </c:pt>
                <c:pt idx="3">
                  <c:v>0.97691379310344861</c:v>
                </c:pt>
                <c:pt idx="4">
                  <c:v>1.0631120689655176</c:v>
                </c:pt>
                <c:pt idx="5">
                  <c:v>1.0631120689655176</c:v>
                </c:pt>
                <c:pt idx="6">
                  <c:v>1.1110000000000002</c:v>
                </c:pt>
                <c:pt idx="7">
                  <c:v>1.1110000000000002</c:v>
                </c:pt>
                <c:pt idx="8">
                  <c:v>1.1971982758620694</c:v>
                </c:pt>
                <c:pt idx="9">
                  <c:v>1.1971982758620694</c:v>
                </c:pt>
                <c:pt idx="10">
                  <c:v>1.2738189655172418</c:v>
                </c:pt>
                <c:pt idx="11">
                  <c:v>1.2738189655172418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05D7-624A-A3C4-DB3C8B691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564704"/>
        <c:axId val="240565096"/>
      </c:scatterChart>
      <c:valAx>
        <c:axId val="240564704"/>
        <c:scaling>
          <c:orientation val="minMax"/>
          <c:max val="46392"/>
          <c:min val="42736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HVM Ready Date</a:t>
                </a:r>
              </a:p>
            </c:rich>
          </c:tx>
          <c:layout>
            <c:manualLayout>
              <c:xMode val="edge"/>
              <c:yMode val="edge"/>
              <c:x val="0.44502156557075673"/>
              <c:y val="0.93472838528437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Intel Clear" panose="020B0604020203020204" pitchFamily="34" charset="0"/>
                <a:ea typeface="Intel Clear" panose="020B0604020203020204" pitchFamily="34" charset="0"/>
                <a:cs typeface="Intel Clear" panose="020B0604020203020204" pitchFamily="34" charset="0"/>
              </a:defRPr>
            </a:pPr>
            <a:endParaRPr lang="en-US"/>
          </a:p>
        </c:txPr>
        <c:crossAx val="240565096"/>
        <c:crosses val="autoZero"/>
        <c:crossBetween val="midCat"/>
        <c:majorUnit val="365.5"/>
      </c:valAx>
      <c:valAx>
        <c:axId val="240565096"/>
        <c:scaling>
          <c:orientation val="minMax"/>
          <c:max val="1.6"/>
          <c:min val="0.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Iso-Power</a:t>
                </a:r>
                <a:r>
                  <a:rPr lang="en-US" sz="1800" baseline="0"/>
                  <a:t> Perf</a:t>
                </a:r>
                <a:endParaRPr lang="en-US" sz="1800"/>
              </a:p>
            </c:rich>
          </c:tx>
          <c:layout>
            <c:manualLayout>
              <c:xMode val="edge"/>
              <c:yMode val="edge"/>
              <c:x val="1.5167805842622201E-2"/>
              <c:y val="0.332225898067515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Intel Clear" panose="020B0604020203020204" pitchFamily="34" charset="0"/>
                <a:ea typeface="Intel Clear" panose="020B0604020203020204" pitchFamily="34" charset="0"/>
                <a:cs typeface="Intel Clear" panose="020B0604020203020204" pitchFamily="34" charset="0"/>
              </a:defRPr>
            </a:pPr>
            <a:endParaRPr lang="en-US"/>
          </a:p>
        </c:txPr>
        <c:crossAx val="240564704"/>
        <c:crosses val="autoZero"/>
        <c:crossBetween val="midCat"/>
      </c:valAx>
      <c:spPr>
        <a:noFill/>
        <a:ln w="190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58399086975442"/>
          <c:y val="4.5743863562119111E-2"/>
          <c:w val="0.75470593548069265"/>
          <c:h val="0.74071710993207385"/>
        </c:manualLayout>
      </c:layout>
      <c:scatterChart>
        <c:scatterStyle val="lineMarker"/>
        <c:varyColors val="0"/>
        <c:ser>
          <c:idx val="0"/>
          <c:order val="0"/>
          <c:tx>
            <c:v>TSMC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6"/>
            <c:spPr>
              <a:noFill/>
              <a:ln w="38100">
                <a:solidFill>
                  <a:srgbClr val="C00000"/>
                </a:solidFill>
              </a:ln>
              <a:effectLst/>
            </c:spPr>
          </c:marker>
          <c:dPt>
            <c:idx val="1"/>
            <c:marker>
              <c:symbol val="diamond"/>
              <c:size val="24"/>
              <c:spPr>
                <a:solidFill>
                  <a:srgbClr val="C00000"/>
                </a:solidFill>
                <a:ln w="38100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5F6-C641-998B-6DC8EF4D874D}"/>
              </c:ext>
            </c:extLst>
          </c:dPt>
          <c:dPt>
            <c:idx val="5"/>
            <c:marker>
              <c:symbol val="diamond"/>
              <c:size val="24"/>
              <c:spPr>
                <a:solidFill>
                  <a:srgbClr val="C00000"/>
                </a:solidFill>
                <a:ln w="38100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5F6-C641-998B-6DC8EF4D874D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rgbClr val="C00000"/>
                        </a:solidFill>
                      </a:rPr>
                      <a:t>N6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5F6-C641-998B-6DC8EF4D874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rgbClr val="C00000"/>
                        </a:solidFill>
                      </a:rPr>
                      <a:t>N4P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5F6-C641-998B-6DC8EF4D87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'FinFET HD SRAM '!$D$2:$D$9</c:f>
              <c:numCache>
                <c:formatCode>0.00</c:formatCode>
                <c:ptCount val="8"/>
                <c:pt idx="0">
                  <c:v>0.95652173913043492</c:v>
                </c:pt>
                <c:pt idx="1">
                  <c:v>0.98521739130434793</c:v>
                </c:pt>
                <c:pt idx="2">
                  <c:v>0.98521739130434793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1.1660000000000001</c:v>
                </c:pt>
                <c:pt idx="6">
                  <c:v>1.2375</c:v>
                </c:pt>
                <c:pt idx="7">
                  <c:v>1.2993750000000002</c:v>
                </c:pt>
              </c:numCache>
            </c:numRef>
          </c:xVal>
          <c:yVal>
            <c:numRef>
              <c:f>'FinFET HD SRAM '!$E$2:$E$9</c:f>
              <c:numCache>
                <c:formatCode>General</c:formatCode>
                <c:ptCount val="8"/>
                <c:pt idx="0" formatCode="0.00000">
                  <c:v>2.7359999999999999E-2</c:v>
                </c:pt>
                <c:pt idx="1">
                  <c:v>2.7359999999999999E-2</c:v>
                </c:pt>
                <c:pt idx="2">
                  <c:v>2.7359999999999999E-2</c:v>
                </c:pt>
                <c:pt idx="3">
                  <c:v>2.1420000000000002E-2</c:v>
                </c:pt>
                <c:pt idx="4" formatCode="0.00000">
                  <c:v>2.0571768000000001E-2</c:v>
                </c:pt>
                <c:pt idx="5" formatCode="0.00000">
                  <c:v>2.00574738E-2</c:v>
                </c:pt>
                <c:pt idx="6" formatCode="0.00000">
                  <c:v>2.1513024000000002E-2</c:v>
                </c:pt>
                <c:pt idx="7" formatCode="0.00000">
                  <c:v>2.1215999999999999E-2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F6-C641-998B-6DC8EF4D874D}"/>
            </c:ext>
          </c:extLst>
        </c:ser>
        <c:ser>
          <c:idx val="1"/>
          <c:order val="1"/>
          <c:tx>
            <c:v>Intel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6"/>
            <c:spPr>
              <a:noFill/>
              <a:ln w="38100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square"/>
              <c:size val="24"/>
              <c:spPr>
                <a:solidFill>
                  <a:schemeClr val="accent1"/>
                </a:solidFill>
                <a:ln w="38100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5F6-C641-998B-6DC8EF4D874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accent1"/>
                        </a:solidFill>
                      </a:rPr>
                      <a:t>P1276.31</a:t>
                    </a:r>
                  </a:p>
                  <a:p>
                    <a:r>
                      <a:rPr lang="en-US" baseline="0">
                        <a:solidFill>
                          <a:schemeClr val="accent1"/>
                        </a:solidFill>
                      </a:rPr>
                      <a:t>Intel 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5F6-C641-998B-6DC8EF4D87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'FinFET HD SRAM '!$D$11:$D$16</c:f>
              <c:numCache>
                <c:formatCode>0.00</c:formatCode>
                <c:ptCount val="6"/>
                <c:pt idx="0">
                  <c:v>1</c:v>
                </c:pt>
                <c:pt idx="1">
                  <c:v>1.1499999999999999</c:v>
                </c:pt>
                <c:pt idx="2">
                  <c:v>1.3</c:v>
                </c:pt>
                <c:pt idx="3">
                  <c:v>1.35</c:v>
                </c:pt>
                <c:pt idx="4">
                  <c:v>1.4</c:v>
                </c:pt>
                <c:pt idx="5">
                  <c:v>1.43</c:v>
                </c:pt>
              </c:numCache>
            </c:numRef>
          </c:xVal>
          <c:yVal>
            <c:numRef>
              <c:f>'FinFET HD SRAM '!$E$11:$E$16</c:f>
              <c:numCache>
                <c:formatCode>General</c:formatCode>
                <c:ptCount val="6"/>
                <c:pt idx="0">
                  <c:v>2.4E-2</c:v>
                </c:pt>
                <c:pt idx="1">
                  <c:v>2.4E-2</c:v>
                </c:pt>
                <c:pt idx="2">
                  <c:v>2.1000000000000001E-2</c:v>
                </c:pt>
                <c:pt idx="3">
                  <c:v>1.9E-2</c:v>
                </c:pt>
                <c:pt idx="4">
                  <c:v>1.9E-2</c:v>
                </c:pt>
                <c:pt idx="5" formatCode="0.000">
                  <c:v>1.7100000000000001E-2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5F6-C641-998B-6DC8EF4D874D}"/>
            </c:ext>
          </c:extLst>
        </c:ser>
        <c:ser>
          <c:idx val="2"/>
          <c:order val="2"/>
          <c:tx>
            <c:v>Samsung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6"/>
            <c:spPr>
              <a:noFill/>
              <a:ln w="38100">
                <a:solidFill>
                  <a:schemeClr val="accent6"/>
                </a:solidFill>
              </a:ln>
              <a:effectLst/>
            </c:spPr>
          </c:marker>
          <c:dPt>
            <c:idx val="2"/>
            <c:marker>
              <c:symbol val="circle"/>
              <c:size val="24"/>
              <c:spPr>
                <a:solidFill>
                  <a:schemeClr val="accent6"/>
                </a:solidFill>
                <a:ln w="38100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F5F6-C641-998B-6DC8EF4D874D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accent6"/>
                        </a:solidFill>
                      </a:rPr>
                      <a:t>5LPP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5F6-C641-998B-6DC8EF4D87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'FinFET HD SRAM '!$D$18:$D$22</c:f>
              <c:numCache>
                <c:formatCode>0.00</c:formatCode>
                <c:ptCount val="5"/>
                <c:pt idx="0">
                  <c:v>0.96</c:v>
                </c:pt>
                <c:pt idx="1">
                  <c:v>0.95775862068965545</c:v>
                </c:pt>
                <c:pt idx="2">
                  <c:v>0.97691379310344861</c:v>
                </c:pt>
                <c:pt idx="3">
                  <c:v>1.0631120689655176</c:v>
                </c:pt>
                <c:pt idx="4">
                  <c:v>1.1110000000000002</c:v>
                </c:pt>
              </c:numCache>
            </c:numRef>
          </c:xVal>
          <c:yVal>
            <c:numRef>
              <c:f>'FinFET HD SRAM '!$E$18:$E$22</c:f>
              <c:numCache>
                <c:formatCode>General</c:formatCode>
                <c:ptCount val="5"/>
                <c:pt idx="0">
                  <c:v>2.6200000000000001E-2</c:v>
                </c:pt>
                <c:pt idx="1">
                  <c:v>2.6200000000000001E-2</c:v>
                </c:pt>
                <c:pt idx="2">
                  <c:v>2.6200000000000001E-2</c:v>
                </c:pt>
                <c:pt idx="3">
                  <c:v>2.3E-2</c:v>
                </c:pt>
                <c:pt idx="4">
                  <c:v>2.3E-2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5F6-C641-998B-6DC8EF4D8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6564495"/>
        <c:axId val="1795378527"/>
      </c:scatterChart>
      <c:valAx>
        <c:axId val="1796564495"/>
        <c:scaling>
          <c:orientation val="minMax"/>
          <c:max val="1.5"/>
          <c:min val="0.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Normalized Iso Power Performance</a:t>
                </a:r>
              </a:p>
            </c:rich>
          </c:tx>
          <c:layout>
            <c:manualLayout>
              <c:xMode val="edge"/>
              <c:yMode val="edge"/>
              <c:x val="0.29919026545039529"/>
              <c:y val="0.903490025120250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5378527"/>
        <c:crosses val="autoZero"/>
        <c:crossBetween val="midCat"/>
        <c:majorUnit val="0.1"/>
        <c:minorUnit val="5.000000000000001E-2"/>
      </c:valAx>
      <c:valAx>
        <c:axId val="1795378527"/>
        <c:scaling>
          <c:orientation val="minMax"/>
          <c:min val="1.6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SRAM Cell</a:t>
                </a:r>
                <a:r>
                  <a:rPr lang="en-US" baseline="0"/>
                  <a:t> Size [µm</a:t>
                </a:r>
                <a:r>
                  <a:rPr lang="en-US" baseline="30000"/>
                  <a:t>2</a:t>
                </a:r>
                <a:r>
                  <a:rPr lang="en-US" baseline="0"/>
                  <a:t>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65644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79645792451127"/>
          <c:y val="5.2172845347121299E-2"/>
          <c:w val="0.25857167489100358"/>
          <c:h val="0.258270645353880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SRAM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918720899009402"/>
          <c:y val="0.24067548146382453"/>
          <c:w val="0.67255719122886171"/>
          <c:h val="0.69839410894022003"/>
        </c:manualLayout>
      </c:layout>
      <c:radarChart>
        <c:radarStyle val="marker"/>
        <c:varyColors val="0"/>
        <c:ser>
          <c:idx val="3"/>
          <c:order val="0"/>
          <c:tx>
            <c:strRef>
              <c:f>'SRAM Pie Chart 1'!$K$1</c:f>
              <c:strCache>
                <c:ptCount val="1"/>
                <c:pt idx="0">
                  <c:v>Wafer Price</c:v>
                </c:pt>
              </c:strCache>
            </c:strRef>
          </c:tx>
          <c:spPr>
            <a:ln w="444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1'!$K$2:$K$7</c:f>
              <c:numCache>
                <c:formatCode>0.00</c:formatCode>
                <c:ptCount val="6"/>
                <c:pt idx="0">
                  <c:v>1.8476190476190475</c:v>
                </c:pt>
                <c:pt idx="1">
                  <c:v>1</c:v>
                </c:pt>
                <c:pt idx="2">
                  <c:v>1.4034001778284371</c:v>
                </c:pt>
                <c:pt idx="3">
                  <c:v>1.43</c:v>
                </c:pt>
                <c:pt idx="4">
                  <c:v>0.86469837093169233</c:v>
                </c:pt>
                <c:pt idx="5">
                  <c:v>1.229595281113097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FD-5944-8B27-6610A66F746F}"/>
            </c:ext>
          </c:extLst>
        </c:ser>
        <c:ser>
          <c:idx val="1"/>
          <c:order val="1"/>
          <c:tx>
            <c:strRef>
              <c:f>'SRAM Pie Chart 1'!$L$1</c:f>
              <c:strCache>
                <c:ptCount val="1"/>
                <c:pt idx="0">
                  <c:v>Cell Size</c:v>
                </c:pt>
              </c:strCache>
            </c:strRef>
          </c:tx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1'!$L$2:$L$7</c:f>
              <c:numCache>
                <c:formatCode>0.00</c:formatCode>
                <c:ptCount val="6"/>
                <c:pt idx="0">
                  <c:v>0.87719298245614041</c:v>
                </c:pt>
                <c:pt idx="1">
                  <c:v>1</c:v>
                </c:pt>
                <c:pt idx="2">
                  <c:v>0.78289473684210531</c:v>
                </c:pt>
                <c:pt idx="3">
                  <c:v>0.733094802631579</c:v>
                </c:pt>
                <c:pt idx="4">
                  <c:v>0.95760233918128668</c:v>
                </c:pt>
                <c:pt idx="5">
                  <c:v>0.84064327485380119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FD-5944-8B27-6610A66F746F}"/>
            </c:ext>
          </c:extLst>
        </c:ser>
        <c:ser>
          <c:idx val="2"/>
          <c:order val="2"/>
          <c:tx>
            <c:strRef>
              <c:f>'SRAM Pie Chart 1'!$M$1</c:f>
              <c:strCache>
                <c:ptCount val="1"/>
                <c:pt idx="0">
                  <c:v>$/bit</c:v>
                </c:pt>
              </c:strCache>
            </c:strRef>
          </c:tx>
          <c:spPr>
            <a:ln w="444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1'!$M$2:$M$7</c:f>
              <c:numCache>
                <c:formatCode>0.00</c:formatCode>
                <c:ptCount val="6"/>
                <c:pt idx="0">
                  <c:v>1.6207184628237261</c:v>
                </c:pt>
                <c:pt idx="1">
                  <c:v>1</c:v>
                </c:pt>
                <c:pt idx="2">
                  <c:v>1.0987146129051582</c:v>
                </c:pt>
                <c:pt idx="3">
                  <c:v>1.0483255677631578</c:v>
                </c:pt>
                <c:pt idx="4">
                  <c:v>0.82803718269043647</c:v>
                </c:pt>
                <c:pt idx="5">
                  <c:v>1.0336510038596942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FD-5944-8B27-6610A66F746F}"/>
            </c:ext>
          </c:extLst>
        </c:ser>
        <c:ser>
          <c:idx val="5"/>
          <c:order val="3"/>
          <c:tx>
            <c:strRef>
              <c:f>'SRAM Pie Chart 1'!$N$1</c:f>
              <c:strCache>
                <c:ptCount val="1"/>
                <c:pt idx="0">
                  <c:v>Access Energy</c:v>
                </c:pt>
              </c:strCache>
            </c:strRef>
          </c:tx>
          <c:spPr>
            <a:ln w="444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1'!$N$2:$N$7</c:f>
              <c:numCache>
                <c:formatCode>0.00</c:formatCode>
                <c:ptCount val="6"/>
                <c:pt idx="0">
                  <c:v>1.473638</c:v>
                </c:pt>
                <c:pt idx="1">
                  <c:v>1</c:v>
                </c:pt>
                <c:pt idx="2">
                  <c:v>0.94747099999999995</c:v>
                </c:pt>
                <c:pt idx="3">
                  <c:v>0.94747099999999995</c:v>
                </c:pt>
                <c:pt idx="4">
                  <c:v>1.0686329999999999</c:v>
                </c:pt>
                <c:pt idx="5">
                  <c:v>0.94848900000000003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CFD-5944-8B27-6610A66F746F}"/>
            </c:ext>
          </c:extLst>
        </c:ser>
        <c:ser>
          <c:idx val="6"/>
          <c:order val="4"/>
          <c:tx>
            <c:strRef>
              <c:f>'SRAM Pie Chart 1'!$O$1</c:f>
              <c:strCache>
                <c:ptCount val="1"/>
                <c:pt idx="0">
                  <c:v>SRAM Speed </c:v>
                </c:pt>
              </c:strCache>
            </c:strRef>
          </c:tx>
          <c:spPr>
            <a:ln w="44450" cap="rnd">
              <a:solidFill>
                <a:srgbClr val="00B0F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1'!$O$2:$O$7</c:f>
              <c:numCache>
                <c:formatCode>0.00</c:formatCode>
                <c:ptCount val="6"/>
                <c:pt idx="0">
                  <c:v>1.090195</c:v>
                </c:pt>
                <c:pt idx="1">
                  <c:v>1</c:v>
                </c:pt>
                <c:pt idx="2">
                  <c:v>0.915134</c:v>
                </c:pt>
                <c:pt idx="3">
                  <c:v>1.0264740000000001</c:v>
                </c:pt>
                <c:pt idx="4">
                  <c:v>0.80444300000000002</c:v>
                </c:pt>
                <c:pt idx="5">
                  <c:v>0.84685900000000003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FD-5944-8B27-6610A66F746F}"/>
            </c:ext>
          </c:extLst>
        </c:ser>
        <c:ser>
          <c:idx val="4"/>
          <c:order val="5"/>
          <c:tx>
            <c:strRef>
              <c:f>'SRAM Pie Chart 1'!$P$1</c:f>
              <c:strCache>
                <c:ptCount val="1"/>
                <c:pt idx="0">
                  <c:v>Static Leakage</c:v>
                </c:pt>
              </c:strCache>
            </c:strRef>
          </c:tx>
          <c:spPr>
            <a:ln w="4445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1'!$P$2:$P$7</c:f>
              <c:numCache>
                <c:formatCode>0.00</c:formatCode>
                <c:ptCount val="6"/>
                <c:pt idx="0">
                  <c:v>1.8139780000000001</c:v>
                </c:pt>
                <c:pt idx="1">
                  <c:v>1</c:v>
                </c:pt>
                <c:pt idx="2">
                  <c:v>1.0133490000000001</c:v>
                </c:pt>
                <c:pt idx="3">
                  <c:v>1.044789</c:v>
                </c:pt>
                <c:pt idx="4">
                  <c:v>2.005233</c:v>
                </c:pt>
                <c:pt idx="5">
                  <c:v>1.6762010000000001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CFD-5944-8B27-6610A66F746F}"/>
            </c:ext>
          </c:extLst>
        </c:ser>
        <c:ser>
          <c:idx val="0"/>
          <c:order val="6"/>
          <c:tx>
            <c:strRef>
              <c:f>'SRAM Pie Chart 1'!$Q$1</c:f>
              <c:strCache>
                <c:ptCount val="1"/>
                <c:pt idx="0">
                  <c:v>Logic Performance </c:v>
                </c:pt>
              </c:strCache>
            </c:strRef>
          </c:tx>
          <c:spPr>
            <a:ln w="444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1'!$Q$2:$Q$7</c:f>
              <c:numCache>
                <c:formatCode>0.00</c:formatCode>
                <c:ptCount val="6"/>
                <c:pt idx="0">
                  <c:v>1.1672550750220652</c:v>
                </c:pt>
                <c:pt idx="1">
                  <c:v>1</c:v>
                </c:pt>
                <c:pt idx="2">
                  <c:v>1.116504854368932</c:v>
                </c:pt>
                <c:pt idx="3">
                  <c:v>1.1834951456310681</c:v>
                </c:pt>
                <c:pt idx="4">
                  <c:v>0.99157181118178794</c:v>
                </c:pt>
                <c:pt idx="5">
                  <c:v>1.1276699029126214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FD-5944-8B27-6610A66F7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061696"/>
        <c:axId val="868618784"/>
      </c:radarChart>
      <c:catAx>
        <c:axId val="4920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618784"/>
        <c:crosses val="autoZero"/>
        <c:auto val="1"/>
        <c:lblAlgn val="ctr"/>
        <c:lblOffset val="100"/>
        <c:noMultiLvlLbl val="0"/>
      </c:catAx>
      <c:valAx>
        <c:axId val="868618784"/>
        <c:scaling>
          <c:orientation val="minMax"/>
          <c:max val="2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061696"/>
        <c:crosses val="autoZero"/>
        <c:crossBetween val="between"/>
        <c:majorUnit val="0.5"/>
        <c:min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7.1838634849542879E-2"/>
          <c:w val="1"/>
          <c:h val="0.100639675565556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SRAM Benchmark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918720899009402"/>
          <c:y val="0.24067548146382453"/>
          <c:w val="0.67255719122886171"/>
          <c:h val="0.69839410894022003"/>
        </c:manualLayout>
      </c:layout>
      <c:radarChart>
        <c:radarStyle val="marker"/>
        <c:varyColors val="0"/>
        <c:ser>
          <c:idx val="3"/>
          <c:order val="0"/>
          <c:tx>
            <c:strRef>
              <c:f>'SRAM Pie Chart 1'!$L$1</c:f>
              <c:strCache>
                <c:ptCount val="1"/>
                <c:pt idx="0">
                  <c:v>Cell Size</c:v>
                </c:pt>
              </c:strCache>
            </c:strRef>
          </c:tx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1'!$L$2:$L$7</c:f>
              <c:numCache>
                <c:formatCode>0.00</c:formatCode>
                <c:ptCount val="6"/>
                <c:pt idx="0">
                  <c:v>0.87719298245614041</c:v>
                </c:pt>
                <c:pt idx="1">
                  <c:v>1</c:v>
                </c:pt>
                <c:pt idx="2">
                  <c:v>0.78289473684210531</c:v>
                </c:pt>
                <c:pt idx="3">
                  <c:v>0.733094802631579</c:v>
                </c:pt>
                <c:pt idx="4">
                  <c:v>0.95760233918128668</c:v>
                </c:pt>
                <c:pt idx="5">
                  <c:v>0.84064327485380119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B-8748-B5CC-0341D19056B1}"/>
            </c:ext>
          </c:extLst>
        </c:ser>
        <c:ser>
          <c:idx val="1"/>
          <c:order val="1"/>
          <c:tx>
            <c:strRef>
              <c:f>'SRAM Pie Chart 1'!$M$1</c:f>
              <c:strCache>
                <c:ptCount val="1"/>
                <c:pt idx="0">
                  <c:v>$/bit</c:v>
                </c:pt>
              </c:strCache>
            </c:strRef>
          </c:tx>
          <c:spPr>
            <a:ln w="444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1'!$M$2:$M$7</c:f>
              <c:numCache>
                <c:formatCode>0.00</c:formatCode>
                <c:ptCount val="6"/>
                <c:pt idx="0">
                  <c:v>1.6207184628237261</c:v>
                </c:pt>
                <c:pt idx="1">
                  <c:v>1</c:v>
                </c:pt>
                <c:pt idx="2">
                  <c:v>1.0987146129051582</c:v>
                </c:pt>
                <c:pt idx="3">
                  <c:v>1.0483255677631578</c:v>
                </c:pt>
                <c:pt idx="4">
                  <c:v>0.82803718269043647</c:v>
                </c:pt>
                <c:pt idx="5">
                  <c:v>1.0336510038596942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B-8748-B5CC-0341D19056B1}"/>
            </c:ext>
          </c:extLst>
        </c:ser>
        <c:ser>
          <c:idx val="2"/>
          <c:order val="2"/>
          <c:tx>
            <c:strRef>
              <c:f>'SRAM Pie Chart 1'!$N$1</c:f>
              <c:strCache>
                <c:ptCount val="1"/>
                <c:pt idx="0">
                  <c:v>Access Energy</c:v>
                </c:pt>
              </c:strCache>
            </c:strRef>
          </c:tx>
          <c:spPr>
            <a:ln w="444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1'!$N$2:$N$7</c:f>
              <c:numCache>
                <c:formatCode>0.00</c:formatCode>
                <c:ptCount val="6"/>
                <c:pt idx="0">
                  <c:v>1.473638</c:v>
                </c:pt>
                <c:pt idx="1">
                  <c:v>1</c:v>
                </c:pt>
                <c:pt idx="2">
                  <c:v>0.94747099999999995</c:v>
                </c:pt>
                <c:pt idx="3">
                  <c:v>0.94747099999999995</c:v>
                </c:pt>
                <c:pt idx="4">
                  <c:v>1.0686329999999999</c:v>
                </c:pt>
                <c:pt idx="5">
                  <c:v>0.94848900000000003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0B-8748-B5CC-0341D19056B1}"/>
            </c:ext>
          </c:extLst>
        </c:ser>
        <c:ser>
          <c:idx val="5"/>
          <c:order val="3"/>
          <c:tx>
            <c:strRef>
              <c:f>'SRAM Pie Chart 1'!$O$1</c:f>
              <c:strCache>
                <c:ptCount val="1"/>
                <c:pt idx="0">
                  <c:v>SRAM Speed </c:v>
                </c:pt>
              </c:strCache>
            </c:strRef>
          </c:tx>
          <c:spPr>
            <a:ln w="44450" cap="rnd">
              <a:solidFill>
                <a:srgbClr val="00B0F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1'!$O$2:$O$7</c:f>
              <c:numCache>
                <c:formatCode>0.00</c:formatCode>
                <c:ptCount val="6"/>
                <c:pt idx="0">
                  <c:v>1.090195</c:v>
                </c:pt>
                <c:pt idx="1">
                  <c:v>1</c:v>
                </c:pt>
                <c:pt idx="2">
                  <c:v>0.915134</c:v>
                </c:pt>
                <c:pt idx="3">
                  <c:v>1.0264740000000001</c:v>
                </c:pt>
                <c:pt idx="4">
                  <c:v>0.80444300000000002</c:v>
                </c:pt>
                <c:pt idx="5">
                  <c:v>0.84685900000000003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0B-8748-B5CC-0341D19056B1}"/>
            </c:ext>
          </c:extLst>
        </c:ser>
        <c:ser>
          <c:idx val="6"/>
          <c:order val="4"/>
          <c:tx>
            <c:strRef>
              <c:f>'SRAM Pie Chart 1'!$P$1</c:f>
              <c:strCache>
                <c:ptCount val="1"/>
                <c:pt idx="0">
                  <c:v>Static Leakage</c:v>
                </c:pt>
              </c:strCache>
            </c:strRef>
          </c:tx>
          <c:spPr>
            <a:ln w="4445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1'!$P$2:$P$7</c:f>
              <c:numCache>
                <c:formatCode>0.00</c:formatCode>
                <c:ptCount val="6"/>
                <c:pt idx="0">
                  <c:v>1.8139780000000001</c:v>
                </c:pt>
                <c:pt idx="1">
                  <c:v>1</c:v>
                </c:pt>
                <c:pt idx="2">
                  <c:v>1.0133490000000001</c:v>
                </c:pt>
                <c:pt idx="3">
                  <c:v>1.044789</c:v>
                </c:pt>
                <c:pt idx="4">
                  <c:v>2.005233</c:v>
                </c:pt>
                <c:pt idx="5">
                  <c:v>1.6762010000000001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0B-8748-B5CC-0341D19056B1}"/>
            </c:ext>
          </c:extLst>
        </c:ser>
        <c:ser>
          <c:idx val="4"/>
          <c:order val="5"/>
          <c:tx>
            <c:strRef>
              <c:f>'SRAM Pie Chart 1'!$Q$1</c:f>
              <c:strCache>
                <c:ptCount val="1"/>
                <c:pt idx="0">
                  <c:v>Logic Performance </c:v>
                </c:pt>
              </c:strCache>
            </c:strRef>
          </c:tx>
          <c:spPr>
            <a:ln w="444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'SRAM Pie Chart 1'!$Q$2:$Q$7</c:f>
              <c:numCache>
                <c:formatCode>0.00</c:formatCode>
                <c:ptCount val="6"/>
                <c:pt idx="0">
                  <c:v>1.1672550750220652</c:v>
                </c:pt>
                <c:pt idx="1">
                  <c:v>1</c:v>
                </c:pt>
                <c:pt idx="2">
                  <c:v>1.116504854368932</c:v>
                </c:pt>
                <c:pt idx="3">
                  <c:v>1.1834951456310681</c:v>
                </c:pt>
                <c:pt idx="4">
                  <c:v>0.99157181118178794</c:v>
                </c:pt>
                <c:pt idx="5">
                  <c:v>1.1276699029126214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0B-8748-B5CC-0341D1905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061696"/>
        <c:axId val="868618784"/>
      </c:radarChart>
      <c:catAx>
        <c:axId val="4920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618784"/>
        <c:crosses val="autoZero"/>
        <c:auto val="1"/>
        <c:lblAlgn val="ctr"/>
        <c:lblOffset val="100"/>
        <c:noMultiLvlLbl val="0"/>
      </c:catAx>
      <c:valAx>
        <c:axId val="868618784"/>
        <c:scaling>
          <c:orientation val="minMax"/>
          <c:max val="2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061696"/>
        <c:crosses val="autoZero"/>
        <c:crossBetween val="between"/>
        <c:majorUnit val="0.5"/>
        <c:min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892793883852379E-2"/>
          <c:y val="7.1838634849542879E-2"/>
          <c:w val="0.8434094990017299"/>
          <c:h val="0.100639675565556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SRAM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516980536262047"/>
          <c:y val="0.25352008515458285"/>
          <c:w val="0.60969636641804736"/>
          <c:h val="0.63338935719414635"/>
        </c:manualLayout>
      </c:layout>
      <c:radarChart>
        <c:radarStyle val="marker"/>
        <c:varyColors val="0"/>
        <c:ser>
          <c:idx val="3"/>
          <c:order val="0"/>
          <c:tx>
            <c:strRef>
              <c:f>'SRAM Pie Chart 1'!$A$2</c:f>
              <c:strCache>
                <c:ptCount val="1"/>
                <c:pt idx="0">
                  <c:v>Intel 3</c:v>
                </c:pt>
              </c:strCache>
            </c:strRef>
          </c:tx>
          <c:spPr>
            <a:ln w="444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1'!$K$1:$Q$1</c:f>
              <c:strCache>
                <c:ptCount val="7"/>
                <c:pt idx="0">
                  <c:v>Wafer Price</c:v>
                </c:pt>
                <c:pt idx="1">
                  <c:v>Cell Size</c:v>
                </c:pt>
                <c:pt idx="2">
                  <c:v>$/bit</c:v>
                </c:pt>
                <c:pt idx="3">
                  <c:v>Access Energy</c:v>
                </c:pt>
                <c:pt idx="4">
                  <c:v>SRAM Speed </c:v>
                </c:pt>
                <c:pt idx="5">
                  <c:v>Static Leakage</c:v>
                </c:pt>
                <c:pt idx="6">
                  <c:v>Logic Performance </c:v>
                </c:pt>
              </c:strCache>
            </c:strRef>
          </c:cat>
          <c:val>
            <c:numRef>
              <c:f>'SRAM Pie Chart 1'!$K$2:$Q$2</c:f>
              <c:numCache>
                <c:formatCode>0.00</c:formatCode>
                <c:ptCount val="7"/>
                <c:pt idx="0">
                  <c:v>1.8476190476190475</c:v>
                </c:pt>
                <c:pt idx="1">
                  <c:v>0.87719298245614041</c:v>
                </c:pt>
                <c:pt idx="2">
                  <c:v>1.6207184628237261</c:v>
                </c:pt>
                <c:pt idx="3">
                  <c:v>1.473638</c:v>
                </c:pt>
                <c:pt idx="4">
                  <c:v>1.090195</c:v>
                </c:pt>
                <c:pt idx="5">
                  <c:v>1.8139780000000001</c:v>
                </c:pt>
                <c:pt idx="6">
                  <c:v>1.1672550750220652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9-9A4F-9A86-7FCE048922BA}"/>
            </c:ext>
          </c:extLst>
        </c:ser>
        <c:ser>
          <c:idx val="1"/>
          <c:order val="1"/>
          <c:tx>
            <c:strRef>
              <c:f>'SRAM Pie Chart 1'!$A$3</c:f>
              <c:strCache>
                <c:ptCount val="1"/>
                <c:pt idx="0">
                  <c:v>N6</c:v>
                </c:pt>
              </c:strCache>
            </c:strRef>
          </c:tx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1'!$K$1:$Q$1</c:f>
              <c:strCache>
                <c:ptCount val="7"/>
                <c:pt idx="0">
                  <c:v>Wafer Price</c:v>
                </c:pt>
                <c:pt idx="1">
                  <c:v>Cell Size</c:v>
                </c:pt>
                <c:pt idx="2">
                  <c:v>$/bit</c:v>
                </c:pt>
                <c:pt idx="3">
                  <c:v>Access Energy</c:v>
                </c:pt>
                <c:pt idx="4">
                  <c:v>SRAM Speed </c:v>
                </c:pt>
                <c:pt idx="5">
                  <c:v>Static Leakage</c:v>
                </c:pt>
                <c:pt idx="6">
                  <c:v>Logic Performance </c:v>
                </c:pt>
              </c:strCache>
            </c:strRef>
          </c:cat>
          <c:val>
            <c:numRef>
              <c:f>'SRAM Pie Chart 1'!$K$3:$Q$3</c:f>
              <c:numCache>
                <c:formatCode>0.00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89-9A4F-9A86-7FCE048922BA}"/>
            </c:ext>
          </c:extLst>
        </c:ser>
        <c:ser>
          <c:idx val="2"/>
          <c:order val="2"/>
          <c:tx>
            <c:strRef>
              <c:f>'SRAM Pie Chart 1'!$A$4</c:f>
              <c:strCache>
                <c:ptCount val="1"/>
                <c:pt idx="0">
                  <c:v>N5</c:v>
                </c:pt>
              </c:strCache>
            </c:strRef>
          </c:tx>
          <c:spPr>
            <a:ln w="44450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'SRAM Pie Chart 1'!$K$1:$Q$1</c:f>
              <c:strCache>
                <c:ptCount val="7"/>
                <c:pt idx="0">
                  <c:v>Wafer Price</c:v>
                </c:pt>
                <c:pt idx="1">
                  <c:v>Cell Size</c:v>
                </c:pt>
                <c:pt idx="2">
                  <c:v>$/bit</c:v>
                </c:pt>
                <c:pt idx="3">
                  <c:v>Access Energy</c:v>
                </c:pt>
                <c:pt idx="4">
                  <c:v>SRAM Speed </c:v>
                </c:pt>
                <c:pt idx="5">
                  <c:v>Static Leakage</c:v>
                </c:pt>
                <c:pt idx="6">
                  <c:v>Logic Performance </c:v>
                </c:pt>
              </c:strCache>
            </c:strRef>
          </c:cat>
          <c:val>
            <c:numRef>
              <c:f>'SRAM Pie Chart 1'!$K$4:$Q$4</c:f>
              <c:numCache>
                <c:formatCode>0.00</c:formatCode>
                <c:ptCount val="7"/>
                <c:pt idx="0">
                  <c:v>1.4034001778284371</c:v>
                </c:pt>
                <c:pt idx="1">
                  <c:v>0.78289473684210531</c:v>
                </c:pt>
                <c:pt idx="2">
                  <c:v>1.0987146129051582</c:v>
                </c:pt>
                <c:pt idx="3">
                  <c:v>0.94747099999999995</c:v>
                </c:pt>
                <c:pt idx="4">
                  <c:v>0.915134</c:v>
                </c:pt>
                <c:pt idx="5">
                  <c:v>1.0133490000000001</c:v>
                </c:pt>
                <c:pt idx="6">
                  <c:v>1.116504854368932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89-9A4F-9A86-7FCE048922BA}"/>
            </c:ext>
          </c:extLst>
        </c:ser>
        <c:ser>
          <c:idx val="5"/>
          <c:order val="3"/>
          <c:tx>
            <c:strRef>
              <c:f>'SRAM Pie Chart 1'!$A$5</c:f>
              <c:strCache>
                <c:ptCount val="1"/>
                <c:pt idx="0">
                  <c:v>N4P</c:v>
                </c:pt>
              </c:strCache>
            </c:strRef>
          </c:tx>
          <c:spPr>
            <a:ln w="444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1'!$K$1:$Q$1</c:f>
              <c:strCache>
                <c:ptCount val="7"/>
                <c:pt idx="0">
                  <c:v>Wafer Price</c:v>
                </c:pt>
                <c:pt idx="1">
                  <c:v>Cell Size</c:v>
                </c:pt>
                <c:pt idx="2">
                  <c:v>$/bit</c:v>
                </c:pt>
                <c:pt idx="3">
                  <c:v>Access Energy</c:v>
                </c:pt>
                <c:pt idx="4">
                  <c:v>SRAM Speed </c:v>
                </c:pt>
                <c:pt idx="5">
                  <c:v>Static Leakage</c:v>
                </c:pt>
                <c:pt idx="6">
                  <c:v>Logic Performance </c:v>
                </c:pt>
              </c:strCache>
            </c:strRef>
          </c:cat>
          <c:val>
            <c:numRef>
              <c:f>'SRAM Pie Chart 1'!$K$5:$Q$5</c:f>
              <c:numCache>
                <c:formatCode>0.00</c:formatCode>
                <c:ptCount val="7"/>
                <c:pt idx="0">
                  <c:v>1.43</c:v>
                </c:pt>
                <c:pt idx="1">
                  <c:v>0.733094802631579</c:v>
                </c:pt>
                <c:pt idx="2">
                  <c:v>1.0483255677631578</c:v>
                </c:pt>
                <c:pt idx="3">
                  <c:v>0.94747099999999995</c:v>
                </c:pt>
                <c:pt idx="4">
                  <c:v>1.0264740000000001</c:v>
                </c:pt>
                <c:pt idx="5">
                  <c:v>1.044789</c:v>
                </c:pt>
                <c:pt idx="6">
                  <c:v>1.1834951456310681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89-9A4F-9A86-7FCE048922BA}"/>
            </c:ext>
          </c:extLst>
        </c:ser>
        <c:ser>
          <c:idx val="6"/>
          <c:order val="4"/>
          <c:tx>
            <c:strRef>
              <c:f>'SRAM Pie Chart 1'!$A$6</c:f>
              <c:strCache>
                <c:ptCount val="1"/>
                <c:pt idx="0">
                  <c:v>SF5</c:v>
                </c:pt>
              </c:strCache>
            </c:strRef>
          </c:tx>
          <c:spPr>
            <a:ln w="444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1'!$K$1:$Q$1</c:f>
              <c:strCache>
                <c:ptCount val="7"/>
                <c:pt idx="0">
                  <c:v>Wafer Price</c:v>
                </c:pt>
                <c:pt idx="1">
                  <c:v>Cell Size</c:v>
                </c:pt>
                <c:pt idx="2">
                  <c:v>$/bit</c:v>
                </c:pt>
                <c:pt idx="3">
                  <c:v>Access Energy</c:v>
                </c:pt>
                <c:pt idx="4">
                  <c:v>SRAM Speed </c:v>
                </c:pt>
                <c:pt idx="5">
                  <c:v>Static Leakage</c:v>
                </c:pt>
                <c:pt idx="6">
                  <c:v>Logic Performance </c:v>
                </c:pt>
              </c:strCache>
            </c:strRef>
          </c:cat>
          <c:val>
            <c:numRef>
              <c:f>'SRAM Pie Chart 1'!$K$6:$Q$6</c:f>
              <c:numCache>
                <c:formatCode>0.00</c:formatCode>
                <c:ptCount val="7"/>
                <c:pt idx="0">
                  <c:v>0.86469837093169233</c:v>
                </c:pt>
                <c:pt idx="1">
                  <c:v>0.95760233918128668</c:v>
                </c:pt>
                <c:pt idx="2">
                  <c:v>0.82803718269043647</c:v>
                </c:pt>
                <c:pt idx="3">
                  <c:v>1.0686329999999999</c:v>
                </c:pt>
                <c:pt idx="4">
                  <c:v>0.80444300000000002</c:v>
                </c:pt>
                <c:pt idx="5">
                  <c:v>2.005233</c:v>
                </c:pt>
                <c:pt idx="6">
                  <c:v>0.99157181118178794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89-9A4F-9A86-7FCE048922BA}"/>
            </c:ext>
          </c:extLst>
        </c:ser>
        <c:ser>
          <c:idx val="4"/>
          <c:order val="5"/>
          <c:tx>
            <c:strRef>
              <c:f>'SRAM Pie Chart 1'!$A$7</c:f>
              <c:strCache>
                <c:ptCount val="1"/>
                <c:pt idx="0">
                  <c:v>SF4</c:v>
                </c:pt>
              </c:strCache>
            </c:strRef>
          </c:tx>
          <c:spPr>
            <a:ln w="444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'SRAM Pie Chart 1'!$K$1:$Q$1</c:f>
              <c:strCache>
                <c:ptCount val="7"/>
                <c:pt idx="0">
                  <c:v>Wafer Price</c:v>
                </c:pt>
                <c:pt idx="1">
                  <c:v>Cell Size</c:v>
                </c:pt>
                <c:pt idx="2">
                  <c:v>$/bit</c:v>
                </c:pt>
                <c:pt idx="3">
                  <c:v>Access Energy</c:v>
                </c:pt>
                <c:pt idx="4">
                  <c:v>SRAM Speed </c:v>
                </c:pt>
                <c:pt idx="5">
                  <c:v>Static Leakage</c:v>
                </c:pt>
                <c:pt idx="6">
                  <c:v>Logic Performance </c:v>
                </c:pt>
              </c:strCache>
            </c:strRef>
          </c:cat>
          <c:val>
            <c:numRef>
              <c:f>'SRAM Pie Chart 1'!$K$7:$Q$7</c:f>
              <c:numCache>
                <c:formatCode>0.00</c:formatCode>
                <c:ptCount val="7"/>
                <c:pt idx="0">
                  <c:v>1.229595281113097</c:v>
                </c:pt>
                <c:pt idx="1">
                  <c:v>0.84064327485380119</c:v>
                </c:pt>
                <c:pt idx="2">
                  <c:v>1.0336510038596942</c:v>
                </c:pt>
                <c:pt idx="3">
                  <c:v>0.94848900000000003</c:v>
                </c:pt>
                <c:pt idx="4">
                  <c:v>0.84685900000000003</c:v>
                </c:pt>
                <c:pt idx="5">
                  <c:v>1.6762010000000001</c:v>
                </c:pt>
                <c:pt idx="6">
                  <c:v>1.1276699029126214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89-9A4F-9A86-7FCE04892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061696"/>
        <c:axId val="868618784"/>
      </c:radarChart>
      <c:catAx>
        <c:axId val="4920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618784"/>
        <c:crosses val="autoZero"/>
        <c:auto val="1"/>
        <c:lblAlgn val="ctr"/>
        <c:lblOffset val="100"/>
        <c:noMultiLvlLbl val="0"/>
      </c:catAx>
      <c:valAx>
        <c:axId val="868618784"/>
        <c:scaling>
          <c:orientation val="minMax"/>
          <c:max val="2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061696"/>
        <c:crosses val="autoZero"/>
        <c:crossBetween val="between"/>
        <c:majorUnit val="0.5"/>
        <c:min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2956382936989194E-2"/>
          <c:y val="7.5980804252066575E-2"/>
          <c:w val="0.90306946195003179"/>
          <c:h val="9.6497495182227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SRAM by Suppliers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516980536262047"/>
          <c:y val="0.25352008515458285"/>
          <c:w val="0.60969636641804736"/>
          <c:h val="0.63338935719414635"/>
        </c:manualLayout>
      </c:layout>
      <c:radarChart>
        <c:radarStyle val="marker"/>
        <c:varyColors val="0"/>
        <c:ser>
          <c:idx val="3"/>
          <c:order val="0"/>
          <c:tx>
            <c:strRef>
              <c:f>'SRAM Pie Chart 1'!$A$2</c:f>
              <c:strCache>
                <c:ptCount val="1"/>
                <c:pt idx="0">
                  <c:v>Intel 3</c:v>
                </c:pt>
              </c:strCache>
            </c:strRef>
          </c:tx>
          <c:spPr>
            <a:ln w="444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1'!$L$1:$Q$1</c:f>
              <c:strCache>
                <c:ptCount val="6"/>
                <c:pt idx="0">
                  <c:v>Cell Size</c:v>
                </c:pt>
                <c:pt idx="1">
                  <c:v>$/bit</c:v>
                </c:pt>
                <c:pt idx="2">
                  <c:v>Access Energy</c:v>
                </c:pt>
                <c:pt idx="3">
                  <c:v>SRAM Speed </c:v>
                </c:pt>
                <c:pt idx="4">
                  <c:v>Static Leakage</c:v>
                </c:pt>
                <c:pt idx="5">
                  <c:v>Logic Performance </c:v>
                </c:pt>
              </c:strCache>
            </c:strRef>
          </c:cat>
          <c:val>
            <c:numRef>
              <c:f>'SRAM Pie Chart 1'!$L$2:$Q$2</c:f>
              <c:numCache>
                <c:formatCode>0.00</c:formatCode>
                <c:ptCount val="6"/>
                <c:pt idx="0">
                  <c:v>0.87719298245614041</c:v>
                </c:pt>
                <c:pt idx="1">
                  <c:v>1.6207184628237261</c:v>
                </c:pt>
                <c:pt idx="2">
                  <c:v>1.473638</c:v>
                </c:pt>
                <c:pt idx="3">
                  <c:v>1.090195</c:v>
                </c:pt>
                <c:pt idx="4">
                  <c:v>1.8139780000000001</c:v>
                </c:pt>
                <c:pt idx="5">
                  <c:v>1.1672550750220652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9-9A4F-9A86-7FCE048922BA}"/>
            </c:ext>
          </c:extLst>
        </c:ser>
        <c:ser>
          <c:idx val="1"/>
          <c:order val="1"/>
          <c:tx>
            <c:strRef>
              <c:f>'SRAM Pie Chart 1'!$A$3</c:f>
              <c:strCache>
                <c:ptCount val="1"/>
                <c:pt idx="0">
                  <c:v>N6</c:v>
                </c:pt>
              </c:strCache>
            </c:strRef>
          </c:tx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1'!$L$1:$Q$1</c:f>
              <c:strCache>
                <c:ptCount val="6"/>
                <c:pt idx="0">
                  <c:v>Cell Size</c:v>
                </c:pt>
                <c:pt idx="1">
                  <c:v>$/bit</c:v>
                </c:pt>
                <c:pt idx="2">
                  <c:v>Access Energy</c:v>
                </c:pt>
                <c:pt idx="3">
                  <c:v>SRAM Speed </c:v>
                </c:pt>
                <c:pt idx="4">
                  <c:v>Static Leakage</c:v>
                </c:pt>
                <c:pt idx="5">
                  <c:v>Logic Performance </c:v>
                </c:pt>
              </c:strCache>
            </c:strRef>
          </c:cat>
          <c:val>
            <c:numRef>
              <c:f>'SRAM Pie Chart 1'!$L$3:$Q$3</c:f>
              <c:numCache>
                <c:formatCode>0.00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89-9A4F-9A86-7FCE048922BA}"/>
            </c:ext>
          </c:extLst>
        </c:ser>
        <c:ser>
          <c:idx val="2"/>
          <c:order val="2"/>
          <c:tx>
            <c:strRef>
              <c:f>'SRAM Pie Chart 1'!$A$4</c:f>
              <c:strCache>
                <c:ptCount val="1"/>
                <c:pt idx="0">
                  <c:v>N5</c:v>
                </c:pt>
              </c:strCache>
            </c:strRef>
          </c:tx>
          <c:spPr>
            <a:ln w="44450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'SRAM Pie Chart 1'!$L$1:$Q$1</c:f>
              <c:strCache>
                <c:ptCount val="6"/>
                <c:pt idx="0">
                  <c:v>Cell Size</c:v>
                </c:pt>
                <c:pt idx="1">
                  <c:v>$/bit</c:v>
                </c:pt>
                <c:pt idx="2">
                  <c:v>Access Energy</c:v>
                </c:pt>
                <c:pt idx="3">
                  <c:v>SRAM Speed </c:v>
                </c:pt>
                <c:pt idx="4">
                  <c:v>Static Leakage</c:v>
                </c:pt>
                <c:pt idx="5">
                  <c:v>Logic Performance </c:v>
                </c:pt>
              </c:strCache>
            </c:strRef>
          </c:cat>
          <c:val>
            <c:numRef>
              <c:f>'SRAM Pie Chart 1'!$L$4:$Q$4</c:f>
              <c:numCache>
                <c:formatCode>0.00</c:formatCode>
                <c:ptCount val="6"/>
                <c:pt idx="0">
                  <c:v>0.78289473684210531</c:v>
                </c:pt>
                <c:pt idx="1">
                  <c:v>1.0987146129051582</c:v>
                </c:pt>
                <c:pt idx="2">
                  <c:v>0.94747099999999995</c:v>
                </c:pt>
                <c:pt idx="3">
                  <c:v>0.915134</c:v>
                </c:pt>
                <c:pt idx="4">
                  <c:v>1.0133490000000001</c:v>
                </c:pt>
                <c:pt idx="5">
                  <c:v>1.116504854368932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89-9A4F-9A86-7FCE048922BA}"/>
            </c:ext>
          </c:extLst>
        </c:ser>
        <c:ser>
          <c:idx val="5"/>
          <c:order val="3"/>
          <c:tx>
            <c:strRef>
              <c:f>'SRAM Pie Chart 1'!$A$5</c:f>
              <c:strCache>
                <c:ptCount val="1"/>
                <c:pt idx="0">
                  <c:v>N4P</c:v>
                </c:pt>
              </c:strCache>
            </c:strRef>
          </c:tx>
          <c:spPr>
            <a:ln w="444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1'!$L$1:$Q$1</c:f>
              <c:strCache>
                <c:ptCount val="6"/>
                <c:pt idx="0">
                  <c:v>Cell Size</c:v>
                </c:pt>
                <c:pt idx="1">
                  <c:v>$/bit</c:v>
                </c:pt>
                <c:pt idx="2">
                  <c:v>Access Energy</c:v>
                </c:pt>
                <c:pt idx="3">
                  <c:v>SRAM Speed </c:v>
                </c:pt>
                <c:pt idx="4">
                  <c:v>Static Leakage</c:v>
                </c:pt>
                <c:pt idx="5">
                  <c:v>Logic Performance </c:v>
                </c:pt>
              </c:strCache>
            </c:strRef>
          </c:cat>
          <c:val>
            <c:numRef>
              <c:f>'SRAM Pie Chart 1'!$L$5:$Q$5</c:f>
              <c:numCache>
                <c:formatCode>0.00</c:formatCode>
                <c:ptCount val="6"/>
                <c:pt idx="0">
                  <c:v>0.733094802631579</c:v>
                </c:pt>
                <c:pt idx="1">
                  <c:v>1.0483255677631578</c:v>
                </c:pt>
                <c:pt idx="2">
                  <c:v>0.94747099999999995</c:v>
                </c:pt>
                <c:pt idx="3">
                  <c:v>1.0264740000000001</c:v>
                </c:pt>
                <c:pt idx="4">
                  <c:v>1.044789</c:v>
                </c:pt>
                <c:pt idx="5">
                  <c:v>1.1834951456310681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89-9A4F-9A86-7FCE048922BA}"/>
            </c:ext>
          </c:extLst>
        </c:ser>
        <c:ser>
          <c:idx val="6"/>
          <c:order val="4"/>
          <c:tx>
            <c:strRef>
              <c:f>'SRAM Pie Chart 1'!$A$6</c:f>
              <c:strCache>
                <c:ptCount val="1"/>
                <c:pt idx="0">
                  <c:v>SF5</c:v>
                </c:pt>
              </c:strCache>
            </c:strRef>
          </c:tx>
          <c:spPr>
            <a:ln w="444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'SRAM Pie Chart 1'!$L$1:$Q$1</c:f>
              <c:strCache>
                <c:ptCount val="6"/>
                <c:pt idx="0">
                  <c:v>Cell Size</c:v>
                </c:pt>
                <c:pt idx="1">
                  <c:v>$/bit</c:v>
                </c:pt>
                <c:pt idx="2">
                  <c:v>Access Energy</c:v>
                </c:pt>
                <c:pt idx="3">
                  <c:v>SRAM Speed </c:v>
                </c:pt>
                <c:pt idx="4">
                  <c:v>Static Leakage</c:v>
                </c:pt>
                <c:pt idx="5">
                  <c:v>Logic Performance </c:v>
                </c:pt>
              </c:strCache>
            </c:strRef>
          </c:cat>
          <c:val>
            <c:numRef>
              <c:f>'SRAM Pie Chart 1'!$L$6:$Q$6</c:f>
              <c:numCache>
                <c:formatCode>0.00</c:formatCode>
                <c:ptCount val="6"/>
                <c:pt idx="0">
                  <c:v>0.95760233918128668</c:v>
                </c:pt>
                <c:pt idx="1">
                  <c:v>0.82803718269043647</c:v>
                </c:pt>
                <c:pt idx="2">
                  <c:v>1.0686329999999999</c:v>
                </c:pt>
                <c:pt idx="3">
                  <c:v>0.80444300000000002</c:v>
                </c:pt>
                <c:pt idx="4">
                  <c:v>2.005233</c:v>
                </c:pt>
                <c:pt idx="5">
                  <c:v>0.99157181118178794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89-9A4F-9A86-7FCE048922BA}"/>
            </c:ext>
          </c:extLst>
        </c:ser>
        <c:ser>
          <c:idx val="4"/>
          <c:order val="5"/>
          <c:tx>
            <c:strRef>
              <c:f>'SRAM Pie Chart 1'!$A$7</c:f>
              <c:strCache>
                <c:ptCount val="1"/>
                <c:pt idx="0">
                  <c:v>SF4</c:v>
                </c:pt>
              </c:strCache>
            </c:strRef>
          </c:tx>
          <c:spPr>
            <a:ln w="444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'SRAM Pie Chart 1'!$L$1:$Q$1</c:f>
              <c:strCache>
                <c:ptCount val="6"/>
                <c:pt idx="0">
                  <c:v>Cell Size</c:v>
                </c:pt>
                <c:pt idx="1">
                  <c:v>$/bit</c:v>
                </c:pt>
                <c:pt idx="2">
                  <c:v>Access Energy</c:v>
                </c:pt>
                <c:pt idx="3">
                  <c:v>SRAM Speed </c:v>
                </c:pt>
                <c:pt idx="4">
                  <c:v>Static Leakage</c:v>
                </c:pt>
                <c:pt idx="5">
                  <c:v>Logic Performance </c:v>
                </c:pt>
              </c:strCache>
            </c:strRef>
          </c:cat>
          <c:val>
            <c:numRef>
              <c:f>'SRAM Pie Chart 1'!$L$7:$Q$7</c:f>
              <c:numCache>
                <c:formatCode>0.00</c:formatCode>
                <c:ptCount val="6"/>
                <c:pt idx="0">
                  <c:v>0.84064327485380119</c:v>
                </c:pt>
                <c:pt idx="1">
                  <c:v>1.0336510038596942</c:v>
                </c:pt>
                <c:pt idx="2">
                  <c:v>0.94848900000000003</c:v>
                </c:pt>
                <c:pt idx="3">
                  <c:v>0.84685900000000003</c:v>
                </c:pt>
                <c:pt idx="4">
                  <c:v>1.6762010000000001</c:v>
                </c:pt>
                <c:pt idx="5">
                  <c:v>1.1276699029126214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89-9A4F-9A86-7FCE04892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061696"/>
        <c:axId val="868618784"/>
      </c:radarChart>
      <c:catAx>
        <c:axId val="4920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618784"/>
        <c:crosses val="autoZero"/>
        <c:auto val="1"/>
        <c:lblAlgn val="ctr"/>
        <c:lblOffset val="100"/>
        <c:noMultiLvlLbl val="0"/>
      </c:catAx>
      <c:valAx>
        <c:axId val="868618784"/>
        <c:scaling>
          <c:orientation val="minMax"/>
          <c:max val="2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061696"/>
        <c:crosses val="autoZero"/>
        <c:crossBetween val="between"/>
        <c:majorUnit val="0.5"/>
        <c:min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483268590669331"/>
          <c:y val="0.11611826640993449"/>
          <c:w val="0.42566216671273621"/>
          <c:h val="9.6497495182227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 i="0" baseline="0">
                <a:effectLst/>
              </a:rPr>
              <a:t>SRAM Benchmark by Mainstream Logic</a:t>
            </a:r>
            <a:endParaRPr lang="en-US" sz="2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'SRAM Chart 2'!$B$20</c:f>
              <c:strCache>
                <c:ptCount val="1"/>
                <c:pt idx="0">
                  <c:v>Intel 3</c:v>
                </c:pt>
              </c:strCache>
            </c:strRef>
          </c:tx>
          <c:spPr>
            <a:ln w="444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'SRAM Chart 2'!$A$21:$A$26</c:f>
              <c:strCache>
                <c:ptCount val="6"/>
                <c:pt idx="0">
                  <c:v>Cell Size
[µm^2]</c:v>
                </c:pt>
                <c:pt idx="1">
                  <c:v>$/64MB</c:v>
                </c:pt>
                <c:pt idx="2">
                  <c:v>2R1W Energy
[pJ/b]</c:v>
                </c:pt>
                <c:pt idx="3">
                  <c:v>SRAM Fmax
[GHz]</c:v>
                </c:pt>
                <c:pt idx="4">
                  <c:v>Static Leakage
[nW/b]</c:v>
                </c:pt>
                <c:pt idx="5">
                  <c:v>Iso Power Speed
[Normalized]</c:v>
                </c:pt>
              </c:strCache>
            </c:strRef>
          </c:cat>
          <c:val>
            <c:numRef>
              <c:f>'SRAM Chart 2'!$B$21:$B$26</c:f>
              <c:numCache>
                <c:formatCode>0.00</c:formatCode>
                <c:ptCount val="6"/>
                <c:pt idx="0">
                  <c:v>2.7999999999999994</c:v>
                </c:pt>
                <c:pt idx="1">
                  <c:v>1.9907477025898075</c:v>
                </c:pt>
                <c:pt idx="2">
                  <c:v>1.670416700000001</c:v>
                </c:pt>
                <c:pt idx="3">
                  <c:v>3.37</c:v>
                </c:pt>
                <c:pt idx="4">
                  <c:v>1.3552246080000003</c:v>
                </c:pt>
                <c:pt idx="5">
                  <c:v>3.6725507502206511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2-5746-B7BD-42A47E43E3FB}"/>
            </c:ext>
          </c:extLst>
        </c:ser>
        <c:ser>
          <c:idx val="1"/>
          <c:order val="1"/>
          <c:tx>
            <c:strRef>
              <c:f>'SRAM Chart 2'!$C$20</c:f>
              <c:strCache>
                <c:ptCount val="1"/>
                <c:pt idx="0">
                  <c:v>N6</c:v>
                </c:pt>
              </c:strCache>
            </c:strRef>
          </c:tx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'SRAM Chart 2'!$A$21:$A$26</c:f>
              <c:strCache>
                <c:ptCount val="6"/>
                <c:pt idx="0">
                  <c:v>Cell Size
[µm^2]</c:v>
                </c:pt>
                <c:pt idx="1">
                  <c:v>$/64MB</c:v>
                </c:pt>
                <c:pt idx="2">
                  <c:v>2R1W Energy
[pJ/b]</c:v>
                </c:pt>
                <c:pt idx="3">
                  <c:v>SRAM Fmax
[GHz]</c:v>
                </c:pt>
                <c:pt idx="4">
                  <c:v>Static Leakage
[nW/b]</c:v>
                </c:pt>
                <c:pt idx="5">
                  <c:v>Iso Power Speed
[Normalized]</c:v>
                </c:pt>
              </c:strCache>
            </c:strRef>
          </c:cat>
          <c:val>
            <c:numRef>
              <c:f>'SRAM Chart 2'!$C$21:$C$26</c:f>
              <c:numCache>
                <c:formatCode>0.00</c:formatCode>
                <c:ptCount val="6"/>
                <c:pt idx="0">
                  <c:v>1.7919999999999998</c:v>
                </c:pt>
                <c:pt idx="1">
                  <c:v>3.5262500000000001</c:v>
                </c:pt>
                <c:pt idx="2">
                  <c:v>3.7047917000000004</c:v>
                </c:pt>
                <c:pt idx="3">
                  <c:v>3.0911901080000002</c:v>
                </c:pt>
                <c:pt idx="4">
                  <c:v>3.4394531239999999</c:v>
                </c:pt>
                <c:pt idx="5">
                  <c:v>1.9999999999999998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A2-5746-B7BD-42A47E43E3FB}"/>
            </c:ext>
          </c:extLst>
        </c:ser>
        <c:ser>
          <c:idx val="2"/>
          <c:order val="2"/>
          <c:tx>
            <c:strRef>
              <c:f>'SRAM Chart 2'!$D$20</c:f>
              <c:strCache>
                <c:ptCount val="1"/>
                <c:pt idx="0">
                  <c:v>N5</c:v>
                </c:pt>
              </c:strCache>
            </c:strRef>
          </c:tx>
          <c:spPr>
            <a:ln w="444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'SRAM Chart 2'!$A$21:$A$26</c:f>
              <c:strCache>
                <c:ptCount val="6"/>
                <c:pt idx="0">
                  <c:v>Cell Size
[µm^2]</c:v>
                </c:pt>
                <c:pt idx="1">
                  <c:v>$/64MB</c:v>
                </c:pt>
                <c:pt idx="2">
                  <c:v>2R1W Energy
[pJ/b]</c:v>
                </c:pt>
                <c:pt idx="3">
                  <c:v>SRAM Fmax
[GHz]</c:v>
                </c:pt>
                <c:pt idx="4">
                  <c:v>Static Leakage
[nW/b]</c:v>
                </c:pt>
                <c:pt idx="5">
                  <c:v>Iso Power Speed
[Normalized]</c:v>
                </c:pt>
              </c:strCache>
            </c:strRef>
          </c:cat>
          <c:val>
            <c:numRef>
              <c:f>'SRAM Chart 2'!$D$21:$D$26</c:f>
              <c:numCache>
                <c:formatCode>0.00</c:formatCode>
                <c:ptCount val="6"/>
                <c:pt idx="0">
                  <c:v>3.573999999999999</c:v>
                </c:pt>
                <c:pt idx="1">
                  <c:v>3.1636707978810392</c:v>
                </c:pt>
                <c:pt idx="2">
                  <c:v>3.9304167000000003</c:v>
                </c:pt>
                <c:pt idx="3">
                  <c:v>2.828854314</c:v>
                </c:pt>
                <c:pt idx="4">
                  <c:v>3.4052734359999999</c:v>
                </c:pt>
                <c:pt idx="5">
                  <c:v>3.1650485436893194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A2-5746-B7BD-42A47E43E3FB}"/>
            </c:ext>
          </c:extLst>
        </c:ser>
        <c:ser>
          <c:idx val="3"/>
          <c:order val="3"/>
          <c:tx>
            <c:strRef>
              <c:f>'SRAM Chart 2'!$E$20</c:f>
              <c:strCache>
                <c:ptCount val="1"/>
                <c:pt idx="0">
                  <c:v>N4P</c:v>
                </c:pt>
              </c:strCache>
            </c:strRef>
          </c:tx>
          <c:spPr>
            <a:ln w="444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'SRAM Chart 2'!$A$21:$A$26</c:f>
              <c:strCache>
                <c:ptCount val="6"/>
                <c:pt idx="0">
                  <c:v>Cell Size
[µm^2]</c:v>
                </c:pt>
                <c:pt idx="1">
                  <c:v>$/64MB</c:v>
                </c:pt>
                <c:pt idx="2">
                  <c:v>2R1W Energy
[pJ/b]</c:v>
                </c:pt>
                <c:pt idx="3">
                  <c:v>SRAM Fmax
[GHz]</c:v>
                </c:pt>
                <c:pt idx="4">
                  <c:v>Static Leakage
[nW/b]</c:v>
                </c:pt>
                <c:pt idx="5">
                  <c:v>Iso Power Speed
[Normalized]</c:v>
                </c:pt>
              </c:strCache>
            </c:strRef>
          </c:cat>
          <c:val>
            <c:numRef>
              <c:f>'SRAM Chart 2'!$E$21:$E$26</c:f>
              <c:numCache>
                <c:formatCode>0.00</c:formatCode>
                <c:ptCount val="6"/>
                <c:pt idx="0">
                  <c:v>3.9827578599999995</c:v>
                </c:pt>
                <c:pt idx="1">
                  <c:v>3.2937500000000002</c:v>
                </c:pt>
                <c:pt idx="2">
                  <c:v>3.9304146967907005</c:v>
                </c:pt>
                <c:pt idx="3">
                  <c:v>3.1730262749191924</c:v>
                </c:pt>
                <c:pt idx="4">
                  <c:v>3.324768789970836</c:v>
                </c:pt>
                <c:pt idx="5">
                  <c:v>3.8349514563106801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A2-5746-B7BD-42A47E43E3FB}"/>
            </c:ext>
          </c:extLst>
        </c:ser>
        <c:ser>
          <c:idx val="4"/>
          <c:order val="4"/>
          <c:tx>
            <c:strRef>
              <c:f>'SRAM Chart 2'!$F$20</c:f>
              <c:strCache>
                <c:ptCount val="1"/>
                <c:pt idx="0">
                  <c:v>SF5</c:v>
                </c:pt>
              </c:strCache>
            </c:strRef>
          </c:tx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'SRAM Chart 2'!$A$21:$A$26</c:f>
              <c:strCache>
                <c:ptCount val="6"/>
                <c:pt idx="0">
                  <c:v>Cell Size
[µm^2]</c:v>
                </c:pt>
                <c:pt idx="1">
                  <c:v>$/64MB</c:v>
                </c:pt>
                <c:pt idx="2">
                  <c:v>2R1W Energy
[pJ/b]</c:v>
                </c:pt>
                <c:pt idx="3">
                  <c:v>SRAM Fmax
[GHz]</c:v>
                </c:pt>
                <c:pt idx="4">
                  <c:v>Static Leakage
[nW/b]</c:v>
                </c:pt>
                <c:pt idx="5">
                  <c:v>Iso Power Speed
[Normalized]</c:v>
                </c:pt>
              </c:strCache>
            </c:strRef>
          </c:cat>
          <c:val>
            <c:numRef>
              <c:f>'SRAM Chart 2'!$F$21:$F$26</c:f>
              <c:numCache>
                <c:formatCode>0.00</c:formatCode>
                <c:ptCount val="6"/>
                <c:pt idx="0">
                  <c:v>2.1399999999999992</c:v>
                </c:pt>
                <c:pt idx="1">
                  <c:v>3.9516430193195329</c:v>
                </c:pt>
                <c:pt idx="2">
                  <c:v>3.409998668746101</c:v>
                </c:pt>
                <c:pt idx="3">
                  <c:v>2.4866862440498441</c:v>
                </c:pt>
                <c:pt idx="4">
                  <c:v>0.86550690619789172</c:v>
                </c:pt>
                <c:pt idx="5">
                  <c:v>1.9157181118178792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A2-5746-B7BD-42A47E43E3FB}"/>
            </c:ext>
          </c:extLst>
        </c:ser>
        <c:ser>
          <c:idx val="5"/>
          <c:order val="5"/>
          <c:tx>
            <c:strRef>
              <c:f>'SRAM Chart 2'!$G$20</c:f>
              <c:strCache>
                <c:ptCount val="1"/>
                <c:pt idx="0">
                  <c:v>SF4</c:v>
                </c:pt>
              </c:strCache>
            </c:strRef>
          </c:tx>
          <c:spPr>
            <a:ln w="44450" cap="rnd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'SRAM Chart 2'!$A$21:$A$26</c:f>
              <c:strCache>
                <c:ptCount val="6"/>
                <c:pt idx="0">
                  <c:v>Cell Size
[µm^2]</c:v>
                </c:pt>
                <c:pt idx="1">
                  <c:v>$/64MB</c:v>
                </c:pt>
                <c:pt idx="2">
                  <c:v>2R1W Energy
[pJ/b]</c:v>
                </c:pt>
                <c:pt idx="3">
                  <c:v>SRAM Fmax
[GHz]</c:v>
                </c:pt>
                <c:pt idx="4">
                  <c:v>Static Leakage
[nW/b]</c:v>
                </c:pt>
                <c:pt idx="5">
                  <c:v>Iso Power Speed
[Normalized]</c:v>
                </c:pt>
              </c:strCache>
            </c:strRef>
          </c:cat>
          <c:val>
            <c:numRef>
              <c:f>'SRAM Chart 2'!$G$21:$G$26</c:f>
              <c:numCache>
                <c:formatCode>0.00</c:formatCode>
                <c:ptCount val="6"/>
                <c:pt idx="0">
                  <c:v>3.0999999999999996</c:v>
                </c:pt>
                <c:pt idx="1">
                  <c:v>3.4662500000000001</c:v>
                </c:pt>
                <c:pt idx="2">
                  <c:v>3.9260417000000003</c:v>
                </c:pt>
                <c:pt idx="3">
                  <c:v>2.617801048</c:v>
                </c:pt>
                <c:pt idx="4">
                  <c:v>1.708007812</c:v>
                </c:pt>
                <c:pt idx="5">
                  <c:v>3.2766990291262132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2-5746-B7BD-42A47E43E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988496"/>
        <c:axId val="218665472"/>
      </c:radarChart>
      <c:catAx>
        <c:axId val="26198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65472"/>
        <c:crosses val="autoZero"/>
        <c:auto val="1"/>
        <c:lblAlgn val="ctr"/>
        <c:lblOffset val="100"/>
        <c:noMultiLvlLbl val="0"/>
      </c:catAx>
      <c:valAx>
        <c:axId val="218665472"/>
        <c:scaling>
          <c:orientation val="minMax"/>
          <c:max val="4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26198849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957774927830102"/>
          <c:y val="9.110514990975957E-2"/>
          <c:w val="0.72338050107078178"/>
          <c:h val="4.81015118822792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14</xdr:col>
      <xdr:colOff>308937</xdr:colOff>
      <xdr:row>15</xdr:row>
      <xdr:rowOff>225203</xdr:rowOff>
    </xdr:to>
    <xdr:graphicFrame macro="">
      <xdr:nvGraphicFramePr>
        <xdr:cNvPr id="2" name="Chart 1" title="Gate density (MTr/mm2)">
          <a:extLst>
            <a:ext uri="{FF2B5EF4-FFF2-40B4-BE49-F238E27FC236}">
              <a16:creationId xmlns:a16="http://schemas.microsoft.com/office/drawing/2014/main" id="{295CD19C-6FA7-DC46-BC52-69CEA8189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16</xdr:row>
      <xdr:rowOff>0</xdr:rowOff>
    </xdr:from>
    <xdr:to>
      <xdr:col>14</xdr:col>
      <xdr:colOff>308937</xdr:colOff>
      <xdr:row>30</xdr:row>
      <xdr:rowOff>218112</xdr:rowOff>
    </xdr:to>
    <xdr:graphicFrame macro="">
      <xdr:nvGraphicFramePr>
        <xdr:cNvPr id="3" name="Chart 2" title="Gate density (MTr/mm2)">
          <a:extLst>
            <a:ext uri="{FF2B5EF4-FFF2-40B4-BE49-F238E27FC236}">
              <a16:creationId xmlns:a16="http://schemas.microsoft.com/office/drawing/2014/main" id="{004ACDC9-8439-1C4C-90DD-0759F73F9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0</xdr:colOff>
      <xdr:row>31</xdr:row>
      <xdr:rowOff>0</xdr:rowOff>
    </xdr:from>
    <xdr:to>
      <xdr:col>14</xdr:col>
      <xdr:colOff>308937</xdr:colOff>
      <xdr:row>45</xdr:row>
      <xdr:rowOff>223281</xdr:rowOff>
    </xdr:to>
    <xdr:graphicFrame macro="">
      <xdr:nvGraphicFramePr>
        <xdr:cNvPr id="4" name="Chart 3" title="Gate density (MTr/mm2)">
          <a:extLst>
            <a:ext uri="{FF2B5EF4-FFF2-40B4-BE49-F238E27FC236}">
              <a16:creationId xmlns:a16="http://schemas.microsoft.com/office/drawing/2014/main" id="{246439F5-8932-894E-8B4B-FB40A3E6E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0.22995</cdr:x>
      <cdr:y>0.02172</cdr:y>
    </cdr:from>
    <cdr:to>
      <cdr:x>0.77324</cdr:x>
      <cdr:y>0.21637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F09A803C-9260-4AE6-91F6-425AE37C0004}"/>
            </a:ext>
          </a:extLst>
        </cdr:cNvPr>
        <cdr:cNvSpPr txBox="1"/>
      </cdr:nvSpPr>
      <cdr:spPr>
        <a:xfrm xmlns:a="http://schemas.openxmlformats.org/drawingml/2006/main">
          <a:off x="1844632" y="107673"/>
          <a:ext cx="4358178" cy="964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="1" baseline="0"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 </a:t>
          </a:r>
          <a:endParaRPr lang="en-US" sz="1800" b="1">
            <a:latin typeface="Intel Clear" panose="020B0604020203020204" pitchFamily="34" charset="0"/>
            <a:ea typeface="Intel Clear" panose="020B0604020203020204" pitchFamily="34" charset="0"/>
            <a:cs typeface="Intel Clear" panose="020B0604020203020204" pitchFamily="34" charset="0"/>
          </a:endParaRPr>
        </a:p>
      </cdr:txBody>
    </cdr:sp>
  </cdr:relSizeAnchor>
  <cdr:relSizeAnchor xmlns:cdr="http://schemas.openxmlformats.org/drawingml/2006/chartDrawing">
    <cdr:from>
      <cdr:x>0.17185</cdr:x>
      <cdr:y>0.59858</cdr:y>
    </cdr:from>
    <cdr:to>
      <cdr:x>0.21945</cdr:x>
      <cdr:y>0.6553</cdr:y>
    </cdr:to>
    <cdr:sp macro="" textlink="">
      <cdr:nvSpPr>
        <cdr:cNvPr id="26" name="TextBox 10">
          <a:extLst xmlns:a="http://schemas.openxmlformats.org/drawingml/2006/main">
            <a:ext uri="{FF2B5EF4-FFF2-40B4-BE49-F238E27FC236}">
              <a16:creationId xmlns:a16="http://schemas.microsoft.com/office/drawing/2014/main" id="{80AB0ABB-FA90-49E2-89F4-690CD0E0E701}"/>
            </a:ext>
          </a:extLst>
        </cdr:cNvPr>
        <cdr:cNvSpPr txBox="1"/>
      </cdr:nvSpPr>
      <cdr:spPr>
        <a:xfrm xmlns:a="http://schemas.openxmlformats.org/drawingml/2006/main">
          <a:off x="1402143" y="3224600"/>
          <a:ext cx="388358" cy="305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N7</a:t>
          </a:r>
        </a:p>
      </cdr:txBody>
    </cdr:sp>
  </cdr:relSizeAnchor>
  <cdr:relSizeAnchor xmlns:cdr="http://schemas.openxmlformats.org/drawingml/2006/chartDrawing">
    <cdr:from>
      <cdr:x>0.2854</cdr:x>
      <cdr:y>0.56228</cdr:y>
    </cdr:from>
    <cdr:to>
      <cdr:x>0.3449</cdr:x>
      <cdr:y>0.6204</cdr:y>
    </cdr:to>
    <cdr:sp macro="" textlink="">
      <cdr:nvSpPr>
        <cdr:cNvPr id="40" name="TextBox 10">
          <a:extLst xmlns:a="http://schemas.openxmlformats.org/drawingml/2006/main">
            <a:ext uri="{FF2B5EF4-FFF2-40B4-BE49-F238E27FC236}">
              <a16:creationId xmlns:a16="http://schemas.microsoft.com/office/drawing/2014/main" id="{B285F840-7927-4028-BF01-01CDFDDE663D}"/>
            </a:ext>
          </a:extLst>
        </cdr:cNvPr>
        <cdr:cNvSpPr txBox="1"/>
      </cdr:nvSpPr>
      <cdr:spPr>
        <a:xfrm xmlns:a="http://schemas.openxmlformats.org/drawingml/2006/main">
          <a:off x="2328509" y="3029052"/>
          <a:ext cx="485457" cy="3130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N7+</a:t>
          </a:r>
        </a:p>
      </cdr:txBody>
    </cdr:sp>
  </cdr:relSizeAnchor>
  <cdr:relSizeAnchor xmlns:cdr="http://schemas.openxmlformats.org/drawingml/2006/chartDrawing">
    <cdr:from>
      <cdr:x>0.37301</cdr:x>
      <cdr:y>0.46375</cdr:y>
    </cdr:from>
    <cdr:to>
      <cdr:x>0.42116</cdr:x>
      <cdr:y>0.52187</cdr:y>
    </cdr:to>
    <cdr:sp macro="" textlink="">
      <cdr:nvSpPr>
        <cdr:cNvPr id="41" name="TextBox 10">
          <a:extLst xmlns:a="http://schemas.openxmlformats.org/drawingml/2006/main">
            <a:ext uri="{FF2B5EF4-FFF2-40B4-BE49-F238E27FC236}">
              <a16:creationId xmlns:a16="http://schemas.microsoft.com/office/drawing/2014/main" id="{3CD679B9-3404-4331-B9E0-E52F9B02DAEB}"/>
            </a:ext>
          </a:extLst>
        </cdr:cNvPr>
        <cdr:cNvSpPr txBox="1"/>
      </cdr:nvSpPr>
      <cdr:spPr>
        <a:xfrm xmlns:a="http://schemas.openxmlformats.org/drawingml/2006/main">
          <a:off x="3043359" y="2498275"/>
          <a:ext cx="392871" cy="3130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N5</a:t>
          </a:r>
        </a:p>
      </cdr:txBody>
    </cdr:sp>
  </cdr:relSizeAnchor>
  <cdr:relSizeAnchor xmlns:cdr="http://schemas.openxmlformats.org/drawingml/2006/chartDrawing">
    <cdr:from>
      <cdr:x>0.51069</cdr:x>
      <cdr:y>0.43464</cdr:y>
    </cdr:from>
    <cdr:to>
      <cdr:x>0.55885</cdr:x>
      <cdr:y>0.49276</cdr:y>
    </cdr:to>
    <cdr:sp macro="" textlink="">
      <cdr:nvSpPr>
        <cdr:cNvPr id="42" name="TextBox 10">
          <a:extLst xmlns:a="http://schemas.openxmlformats.org/drawingml/2006/main">
            <a:ext uri="{FF2B5EF4-FFF2-40B4-BE49-F238E27FC236}">
              <a16:creationId xmlns:a16="http://schemas.microsoft.com/office/drawing/2014/main" id="{3CD679B9-3404-4331-B9E0-E52F9B02DAEB}"/>
            </a:ext>
          </a:extLst>
        </cdr:cNvPr>
        <cdr:cNvSpPr txBox="1"/>
      </cdr:nvSpPr>
      <cdr:spPr>
        <a:xfrm xmlns:a="http://schemas.openxmlformats.org/drawingml/2006/main">
          <a:off x="4166695" y="2341455"/>
          <a:ext cx="392871" cy="3130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N4</a:t>
          </a:r>
        </a:p>
      </cdr:txBody>
    </cdr:sp>
  </cdr:relSizeAnchor>
  <cdr:relSizeAnchor xmlns:cdr="http://schemas.openxmlformats.org/drawingml/2006/chartDrawing">
    <cdr:from>
      <cdr:x>0.58719</cdr:x>
      <cdr:y>0.28909</cdr:y>
    </cdr:from>
    <cdr:to>
      <cdr:x>0.64745</cdr:x>
      <cdr:y>0.34721</cdr:y>
    </cdr:to>
    <cdr:sp macro="" textlink="">
      <cdr:nvSpPr>
        <cdr:cNvPr id="43" name="TextBox 10">
          <a:extLst xmlns:a="http://schemas.openxmlformats.org/drawingml/2006/main">
            <a:ext uri="{FF2B5EF4-FFF2-40B4-BE49-F238E27FC236}">
              <a16:creationId xmlns:a16="http://schemas.microsoft.com/office/drawing/2014/main" id="{A1008DDD-35E7-4CC5-8D86-6BD02EFD7F4A}"/>
            </a:ext>
          </a:extLst>
        </cdr:cNvPr>
        <cdr:cNvSpPr txBox="1"/>
      </cdr:nvSpPr>
      <cdr:spPr>
        <a:xfrm xmlns:a="http://schemas.openxmlformats.org/drawingml/2006/main">
          <a:off x="4790771" y="1557352"/>
          <a:ext cx="491689" cy="3130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N3B</a:t>
          </a:r>
        </a:p>
      </cdr:txBody>
    </cdr:sp>
  </cdr:relSizeAnchor>
  <cdr:relSizeAnchor xmlns:cdr="http://schemas.openxmlformats.org/drawingml/2006/chartDrawing">
    <cdr:from>
      <cdr:x>0.67202</cdr:x>
      <cdr:y>0.28685</cdr:y>
    </cdr:from>
    <cdr:to>
      <cdr:x>0.73146</cdr:x>
      <cdr:y>0.34497</cdr:y>
    </cdr:to>
    <cdr:sp macro="" textlink="">
      <cdr:nvSpPr>
        <cdr:cNvPr id="44" name="TextBox 10">
          <a:extLst xmlns:a="http://schemas.openxmlformats.org/drawingml/2006/main">
            <a:ext uri="{FF2B5EF4-FFF2-40B4-BE49-F238E27FC236}">
              <a16:creationId xmlns:a16="http://schemas.microsoft.com/office/drawing/2014/main" id="{170CD519-9AFF-4BA8-A44A-EC7E8BD3D507}"/>
            </a:ext>
          </a:extLst>
        </cdr:cNvPr>
        <cdr:cNvSpPr txBox="1"/>
      </cdr:nvSpPr>
      <cdr:spPr>
        <a:xfrm xmlns:a="http://schemas.openxmlformats.org/drawingml/2006/main">
          <a:off x="5482926" y="1545288"/>
          <a:ext cx="484937" cy="3130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N3E</a:t>
          </a:r>
        </a:p>
      </cdr:txBody>
    </cdr:sp>
  </cdr:relSizeAnchor>
  <cdr:relSizeAnchor xmlns:cdr="http://schemas.openxmlformats.org/drawingml/2006/chartDrawing">
    <cdr:from>
      <cdr:x>0.80944</cdr:x>
      <cdr:y>0.15878</cdr:y>
    </cdr:from>
    <cdr:to>
      <cdr:x>0.85759</cdr:x>
      <cdr:y>0.2169</cdr:y>
    </cdr:to>
    <cdr:sp macro="" textlink="">
      <cdr:nvSpPr>
        <cdr:cNvPr id="45" name="TextBox 10">
          <a:extLst xmlns:a="http://schemas.openxmlformats.org/drawingml/2006/main">
            <a:ext uri="{FF2B5EF4-FFF2-40B4-BE49-F238E27FC236}">
              <a16:creationId xmlns:a16="http://schemas.microsoft.com/office/drawing/2014/main" id="{6F547A10-25A7-427F-8EFE-4A93C09E55EC}"/>
            </a:ext>
          </a:extLst>
        </cdr:cNvPr>
        <cdr:cNvSpPr txBox="1"/>
      </cdr:nvSpPr>
      <cdr:spPr>
        <a:xfrm xmlns:a="http://schemas.openxmlformats.org/drawingml/2006/main">
          <a:off x="6604108" y="855354"/>
          <a:ext cx="392871" cy="3130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N2</a:t>
          </a:r>
        </a:p>
      </cdr:txBody>
    </cdr:sp>
  </cdr:relSizeAnchor>
  <cdr:relSizeAnchor xmlns:cdr="http://schemas.openxmlformats.org/drawingml/2006/chartDrawing">
    <cdr:from>
      <cdr:x>0.41804</cdr:x>
      <cdr:y>0.56425</cdr:y>
    </cdr:from>
    <cdr:to>
      <cdr:x>0.48607</cdr:x>
      <cdr:y>0.62237</cdr:y>
    </cdr:to>
    <cdr:sp macro="" textlink="">
      <cdr:nvSpPr>
        <cdr:cNvPr id="46" name="TextBox 10">
          <a:extLst xmlns:a="http://schemas.openxmlformats.org/drawingml/2006/main">
            <a:ext uri="{FF2B5EF4-FFF2-40B4-BE49-F238E27FC236}">
              <a16:creationId xmlns:a16="http://schemas.microsoft.com/office/drawing/2014/main" id="{8AB60B34-5A53-4CC9-918D-CC0912CAFA7E}"/>
            </a:ext>
          </a:extLst>
        </cdr:cNvPr>
        <cdr:cNvSpPr txBox="1"/>
      </cdr:nvSpPr>
      <cdr:spPr>
        <a:xfrm xmlns:a="http://schemas.openxmlformats.org/drawingml/2006/main">
          <a:off x="3410766" y="3039672"/>
          <a:ext cx="555057" cy="3130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5LPE</a:t>
          </a:r>
        </a:p>
      </cdr:txBody>
    </cdr:sp>
  </cdr:relSizeAnchor>
  <cdr:relSizeAnchor xmlns:cdr="http://schemas.openxmlformats.org/drawingml/2006/chartDrawing">
    <cdr:from>
      <cdr:x>0.49175</cdr:x>
      <cdr:y>0.56201</cdr:y>
    </cdr:from>
    <cdr:to>
      <cdr:x>0.56052</cdr:x>
      <cdr:y>0.62013</cdr:y>
    </cdr:to>
    <cdr:sp macro="" textlink="">
      <cdr:nvSpPr>
        <cdr:cNvPr id="47" name="TextBox 10">
          <a:extLst xmlns:a="http://schemas.openxmlformats.org/drawingml/2006/main">
            <a:ext uri="{FF2B5EF4-FFF2-40B4-BE49-F238E27FC236}">
              <a16:creationId xmlns:a16="http://schemas.microsoft.com/office/drawing/2014/main" id="{F45A7020-C515-4D95-B17D-B8F2AFE9DCBD}"/>
            </a:ext>
          </a:extLst>
        </cdr:cNvPr>
        <cdr:cNvSpPr txBox="1"/>
      </cdr:nvSpPr>
      <cdr:spPr>
        <a:xfrm xmlns:a="http://schemas.openxmlformats.org/drawingml/2006/main">
          <a:off x="4012147" y="3027608"/>
          <a:ext cx="561031" cy="3130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5LPP</a:t>
          </a:r>
        </a:p>
      </cdr:txBody>
    </cdr:sp>
  </cdr:relSizeAnchor>
  <cdr:relSizeAnchor xmlns:cdr="http://schemas.openxmlformats.org/drawingml/2006/chartDrawing">
    <cdr:from>
      <cdr:x>0.62263</cdr:x>
      <cdr:y>0.55683</cdr:y>
    </cdr:from>
    <cdr:to>
      <cdr:x>0.66274</cdr:x>
      <cdr:y>0.61495</cdr:y>
    </cdr:to>
    <cdr:sp macro="" textlink="">
      <cdr:nvSpPr>
        <cdr:cNvPr id="48" name="TextBox 10">
          <a:extLst xmlns:a="http://schemas.openxmlformats.org/drawingml/2006/main">
            <a:ext uri="{FF2B5EF4-FFF2-40B4-BE49-F238E27FC236}">
              <a16:creationId xmlns:a16="http://schemas.microsoft.com/office/drawing/2014/main" id="{F45A7020-C515-4D95-B17D-B8F2AFE9DCBD}"/>
            </a:ext>
          </a:extLst>
        </cdr:cNvPr>
        <cdr:cNvSpPr txBox="1"/>
      </cdr:nvSpPr>
      <cdr:spPr>
        <a:xfrm xmlns:a="http://schemas.openxmlformats.org/drawingml/2006/main">
          <a:off x="5079993" y="2999701"/>
          <a:ext cx="327229" cy="3130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I4</a:t>
          </a:r>
        </a:p>
      </cdr:txBody>
    </cdr:sp>
  </cdr:relSizeAnchor>
  <cdr:relSizeAnchor xmlns:cdr="http://schemas.openxmlformats.org/drawingml/2006/chartDrawing">
    <cdr:from>
      <cdr:x>0.70562</cdr:x>
      <cdr:y>0.52996</cdr:y>
    </cdr:from>
    <cdr:to>
      <cdr:x>0.74573</cdr:x>
      <cdr:y>0.58808</cdr:y>
    </cdr:to>
    <cdr:sp macro="" textlink="">
      <cdr:nvSpPr>
        <cdr:cNvPr id="49" name="TextBox 10">
          <a:extLst xmlns:a="http://schemas.openxmlformats.org/drawingml/2006/main">
            <a:ext uri="{FF2B5EF4-FFF2-40B4-BE49-F238E27FC236}">
              <a16:creationId xmlns:a16="http://schemas.microsoft.com/office/drawing/2014/main" id="{C34D3662-E8E5-4DD3-8DB6-6BE084B79803}"/>
            </a:ext>
          </a:extLst>
        </cdr:cNvPr>
        <cdr:cNvSpPr txBox="1"/>
      </cdr:nvSpPr>
      <cdr:spPr>
        <a:xfrm xmlns:a="http://schemas.openxmlformats.org/drawingml/2006/main">
          <a:off x="5757071" y="2854944"/>
          <a:ext cx="327230" cy="3130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I3</a:t>
          </a:r>
        </a:p>
      </cdr:txBody>
    </cdr:sp>
  </cdr:relSizeAnchor>
  <cdr:relSizeAnchor xmlns:cdr="http://schemas.openxmlformats.org/drawingml/2006/chartDrawing">
    <cdr:from>
      <cdr:x>0.72692</cdr:x>
      <cdr:y>0.41369</cdr:y>
    </cdr:from>
    <cdr:to>
      <cdr:x>0.79109</cdr:x>
      <cdr:y>0.47181</cdr:y>
    </cdr:to>
    <cdr:sp macro="" textlink="">
      <cdr:nvSpPr>
        <cdr:cNvPr id="50" name="TextBox 10">
          <a:extLst xmlns:a="http://schemas.openxmlformats.org/drawingml/2006/main">
            <a:ext uri="{FF2B5EF4-FFF2-40B4-BE49-F238E27FC236}">
              <a16:creationId xmlns:a16="http://schemas.microsoft.com/office/drawing/2014/main" id="{C34D3662-E8E5-4DD3-8DB6-6BE084B79803}"/>
            </a:ext>
          </a:extLst>
        </cdr:cNvPr>
        <cdr:cNvSpPr txBox="1"/>
      </cdr:nvSpPr>
      <cdr:spPr>
        <a:xfrm xmlns:a="http://schemas.openxmlformats.org/drawingml/2006/main">
          <a:off x="5899507" y="2213677"/>
          <a:ext cx="520804" cy="3110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I20A</a:t>
          </a:r>
        </a:p>
      </cdr:txBody>
    </cdr:sp>
  </cdr:relSizeAnchor>
  <cdr:relSizeAnchor xmlns:cdr="http://schemas.openxmlformats.org/drawingml/2006/chartDrawing">
    <cdr:from>
      <cdr:x>0.74852</cdr:x>
      <cdr:y>0.36712</cdr:y>
    </cdr:from>
    <cdr:to>
      <cdr:x>0.81269</cdr:x>
      <cdr:y>0.42524</cdr:y>
    </cdr:to>
    <cdr:sp macro="" textlink="">
      <cdr:nvSpPr>
        <cdr:cNvPr id="51" name="TextBox 10">
          <a:extLst xmlns:a="http://schemas.openxmlformats.org/drawingml/2006/main">
            <a:ext uri="{FF2B5EF4-FFF2-40B4-BE49-F238E27FC236}">
              <a16:creationId xmlns:a16="http://schemas.microsoft.com/office/drawing/2014/main" id="{97932C53-D20B-4396-881B-CB1ECA57E55D}"/>
            </a:ext>
          </a:extLst>
        </cdr:cNvPr>
        <cdr:cNvSpPr txBox="1"/>
      </cdr:nvSpPr>
      <cdr:spPr>
        <a:xfrm xmlns:a="http://schemas.openxmlformats.org/drawingml/2006/main">
          <a:off x="6074812" y="1964503"/>
          <a:ext cx="520805" cy="3110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I18A</a:t>
          </a:r>
        </a:p>
      </cdr:txBody>
    </cdr:sp>
  </cdr:relSizeAnchor>
  <cdr:relSizeAnchor xmlns:cdr="http://schemas.openxmlformats.org/drawingml/2006/chartDrawing">
    <cdr:from>
      <cdr:x>0.83357</cdr:x>
      <cdr:y>0.28812</cdr:y>
    </cdr:from>
    <cdr:to>
      <cdr:x>0.89774</cdr:x>
      <cdr:y>0.34624</cdr:y>
    </cdr:to>
    <cdr:sp macro="" textlink="">
      <cdr:nvSpPr>
        <cdr:cNvPr id="52" name="TextBox 10">
          <a:extLst xmlns:a="http://schemas.openxmlformats.org/drawingml/2006/main">
            <a:ext uri="{FF2B5EF4-FFF2-40B4-BE49-F238E27FC236}">
              <a16:creationId xmlns:a16="http://schemas.microsoft.com/office/drawing/2014/main" id="{97932C53-D20B-4396-881B-CB1ECA57E55D}"/>
            </a:ext>
          </a:extLst>
        </cdr:cNvPr>
        <cdr:cNvSpPr txBox="1"/>
      </cdr:nvSpPr>
      <cdr:spPr>
        <a:xfrm xmlns:a="http://schemas.openxmlformats.org/drawingml/2006/main">
          <a:off x="6800979" y="1552127"/>
          <a:ext cx="523568" cy="3130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I16A</a:t>
          </a:r>
        </a:p>
      </cdr:txBody>
    </cdr:sp>
  </cdr:relSizeAnchor>
  <cdr:relSizeAnchor xmlns:cdr="http://schemas.openxmlformats.org/drawingml/2006/chartDrawing">
    <cdr:from>
      <cdr:x>0.54028</cdr:x>
      <cdr:y>0.50686</cdr:y>
    </cdr:from>
    <cdr:to>
      <cdr:x>0.60831</cdr:x>
      <cdr:y>0.56498</cdr:y>
    </cdr:to>
    <cdr:sp macro="" textlink="">
      <cdr:nvSpPr>
        <cdr:cNvPr id="53" name="TextBox 10">
          <a:extLst xmlns:a="http://schemas.openxmlformats.org/drawingml/2006/main">
            <a:ext uri="{FF2B5EF4-FFF2-40B4-BE49-F238E27FC236}">
              <a16:creationId xmlns:a16="http://schemas.microsoft.com/office/drawing/2014/main" id="{3403F56B-008D-4ED1-AE51-D4681DEC570B}"/>
            </a:ext>
          </a:extLst>
        </cdr:cNvPr>
        <cdr:cNvSpPr txBox="1"/>
      </cdr:nvSpPr>
      <cdr:spPr>
        <a:xfrm xmlns:a="http://schemas.openxmlformats.org/drawingml/2006/main">
          <a:off x="4408042" y="2730532"/>
          <a:ext cx="555057" cy="3130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4LPE</a:t>
          </a:r>
        </a:p>
      </cdr:txBody>
    </cdr:sp>
  </cdr:relSizeAnchor>
  <cdr:relSizeAnchor xmlns:cdr="http://schemas.openxmlformats.org/drawingml/2006/chartDrawing">
    <cdr:from>
      <cdr:x>0.62701</cdr:x>
      <cdr:y>0.46305</cdr:y>
    </cdr:from>
    <cdr:to>
      <cdr:x>0.69577</cdr:x>
      <cdr:y>0.52117</cdr:y>
    </cdr:to>
    <cdr:sp macro="" textlink="">
      <cdr:nvSpPr>
        <cdr:cNvPr id="54" name="TextBox 10">
          <a:extLst xmlns:a="http://schemas.openxmlformats.org/drawingml/2006/main">
            <a:ext uri="{FF2B5EF4-FFF2-40B4-BE49-F238E27FC236}">
              <a16:creationId xmlns:a16="http://schemas.microsoft.com/office/drawing/2014/main" id="{6647D76D-E04B-40E2-AB7B-4EC850F4D109}"/>
            </a:ext>
          </a:extLst>
        </cdr:cNvPr>
        <cdr:cNvSpPr txBox="1"/>
      </cdr:nvSpPr>
      <cdr:spPr>
        <a:xfrm xmlns:a="http://schemas.openxmlformats.org/drawingml/2006/main">
          <a:off x="5115685" y="2494511"/>
          <a:ext cx="561031" cy="3130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4LPP</a:t>
          </a:r>
        </a:p>
      </cdr:txBody>
    </cdr:sp>
  </cdr:relSizeAnchor>
  <cdr:relSizeAnchor xmlns:cdr="http://schemas.openxmlformats.org/drawingml/2006/chartDrawing">
    <cdr:from>
      <cdr:x>0.62613</cdr:x>
      <cdr:y>0.35364</cdr:y>
    </cdr:from>
    <cdr:to>
      <cdr:x>0.69848</cdr:x>
      <cdr:y>0.41176</cdr:y>
    </cdr:to>
    <cdr:sp macro="" textlink="">
      <cdr:nvSpPr>
        <cdr:cNvPr id="55" name="TextBox 10">
          <a:extLst xmlns:a="http://schemas.openxmlformats.org/drawingml/2006/main">
            <a:ext uri="{FF2B5EF4-FFF2-40B4-BE49-F238E27FC236}">
              <a16:creationId xmlns:a16="http://schemas.microsoft.com/office/drawing/2014/main" id="{6647D76D-E04B-40E2-AB7B-4EC850F4D109}"/>
            </a:ext>
          </a:extLst>
        </cdr:cNvPr>
        <cdr:cNvSpPr txBox="1"/>
      </cdr:nvSpPr>
      <cdr:spPr>
        <a:xfrm xmlns:a="http://schemas.openxmlformats.org/drawingml/2006/main">
          <a:off x="5108491" y="1905108"/>
          <a:ext cx="590313" cy="3130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3GAP</a:t>
          </a:r>
        </a:p>
      </cdr:txBody>
    </cdr:sp>
  </cdr:relSizeAnchor>
  <cdr:relSizeAnchor xmlns:cdr="http://schemas.openxmlformats.org/drawingml/2006/chartDrawing">
    <cdr:from>
      <cdr:x>0.56695</cdr:x>
      <cdr:y>0.45301</cdr:y>
    </cdr:from>
    <cdr:to>
      <cdr:x>0.63822</cdr:x>
      <cdr:y>0.51106</cdr:y>
    </cdr:to>
    <cdr:sp macro="" textlink="">
      <cdr:nvSpPr>
        <cdr:cNvPr id="56" name="TextBox 10">
          <a:extLst xmlns:a="http://schemas.openxmlformats.org/drawingml/2006/main">
            <a:ext uri="{FF2B5EF4-FFF2-40B4-BE49-F238E27FC236}">
              <a16:creationId xmlns:a16="http://schemas.microsoft.com/office/drawing/2014/main" id="{BD2557FD-2290-4D93-8755-3007B1325113}"/>
            </a:ext>
          </a:extLst>
        </cdr:cNvPr>
        <cdr:cNvSpPr txBox="1"/>
      </cdr:nvSpPr>
      <cdr:spPr>
        <a:xfrm xmlns:a="http://schemas.openxmlformats.org/drawingml/2006/main">
          <a:off x="4625660" y="2440417"/>
          <a:ext cx="581508" cy="31272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3GAE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0.22995</cdr:x>
      <cdr:y>0.02172</cdr:y>
    </cdr:from>
    <cdr:to>
      <cdr:x>0.77324</cdr:x>
      <cdr:y>0.21637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F09A803C-9260-4AE6-91F6-425AE37C0004}"/>
            </a:ext>
          </a:extLst>
        </cdr:cNvPr>
        <cdr:cNvSpPr txBox="1"/>
      </cdr:nvSpPr>
      <cdr:spPr>
        <a:xfrm xmlns:a="http://schemas.openxmlformats.org/drawingml/2006/main">
          <a:off x="1844632" y="107673"/>
          <a:ext cx="4358178" cy="964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="1" baseline="0"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 </a:t>
          </a:r>
          <a:endParaRPr lang="en-US" sz="1800" b="1">
            <a:latin typeface="Intel Clear" panose="020B0604020203020204" pitchFamily="34" charset="0"/>
            <a:ea typeface="Intel Clear" panose="020B0604020203020204" pitchFamily="34" charset="0"/>
            <a:cs typeface="Intel Clear" panose="020B0604020203020204" pitchFamily="34" charset="0"/>
          </a:endParaRPr>
        </a:p>
      </cdr:txBody>
    </cdr:sp>
  </cdr:relSizeAnchor>
  <cdr:relSizeAnchor xmlns:cdr="http://schemas.openxmlformats.org/drawingml/2006/chartDrawing">
    <cdr:from>
      <cdr:x>0.17185</cdr:x>
      <cdr:y>0.59858</cdr:y>
    </cdr:from>
    <cdr:to>
      <cdr:x>0.21945</cdr:x>
      <cdr:y>0.6553</cdr:y>
    </cdr:to>
    <cdr:sp macro="" textlink="">
      <cdr:nvSpPr>
        <cdr:cNvPr id="26" name="TextBox 10">
          <a:extLst xmlns:a="http://schemas.openxmlformats.org/drawingml/2006/main">
            <a:ext uri="{FF2B5EF4-FFF2-40B4-BE49-F238E27FC236}">
              <a16:creationId xmlns:a16="http://schemas.microsoft.com/office/drawing/2014/main" id="{80AB0ABB-FA90-49E2-89F4-690CD0E0E701}"/>
            </a:ext>
          </a:extLst>
        </cdr:cNvPr>
        <cdr:cNvSpPr txBox="1"/>
      </cdr:nvSpPr>
      <cdr:spPr>
        <a:xfrm xmlns:a="http://schemas.openxmlformats.org/drawingml/2006/main">
          <a:off x="1402143" y="3224600"/>
          <a:ext cx="388358" cy="305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N7</a:t>
          </a:r>
        </a:p>
      </cdr:txBody>
    </cdr:sp>
  </cdr:relSizeAnchor>
  <cdr:relSizeAnchor xmlns:cdr="http://schemas.openxmlformats.org/drawingml/2006/chartDrawing">
    <cdr:from>
      <cdr:x>0.2854</cdr:x>
      <cdr:y>0.56228</cdr:y>
    </cdr:from>
    <cdr:to>
      <cdr:x>0.3449</cdr:x>
      <cdr:y>0.6204</cdr:y>
    </cdr:to>
    <cdr:sp macro="" textlink="">
      <cdr:nvSpPr>
        <cdr:cNvPr id="40" name="TextBox 10">
          <a:extLst xmlns:a="http://schemas.openxmlformats.org/drawingml/2006/main">
            <a:ext uri="{FF2B5EF4-FFF2-40B4-BE49-F238E27FC236}">
              <a16:creationId xmlns:a16="http://schemas.microsoft.com/office/drawing/2014/main" id="{B285F840-7927-4028-BF01-01CDFDDE663D}"/>
            </a:ext>
          </a:extLst>
        </cdr:cNvPr>
        <cdr:cNvSpPr txBox="1"/>
      </cdr:nvSpPr>
      <cdr:spPr>
        <a:xfrm xmlns:a="http://schemas.openxmlformats.org/drawingml/2006/main">
          <a:off x="2328509" y="3029052"/>
          <a:ext cx="485457" cy="3130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N7+</a:t>
          </a:r>
        </a:p>
      </cdr:txBody>
    </cdr:sp>
  </cdr:relSizeAnchor>
  <cdr:relSizeAnchor xmlns:cdr="http://schemas.openxmlformats.org/drawingml/2006/chartDrawing">
    <cdr:from>
      <cdr:x>0.37301</cdr:x>
      <cdr:y>0.46375</cdr:y>
    </cdr:from>
    <cdr:to>
      <cdr:x>0.42116</cdr:x>
      <cdr:y>0.52187</cdr:y>
    </cdr:to>
    <cdr:sp macro="" textlink="">
      <cdr:nvSpPr>
        <cdr:cNvPr id="41" name="TextBox 10">
          <a:extLst xmlns:a="http://schemas.openxmlformats.org/drawingml/2006/main">
            <a:ext uri="{FF2B5EF4-FFF2-40B4-BE49-F238E27FC236}">
              <a16:creationId xmlns:a16="http://schemas.microsoft.com/office/drawing/2014/main" id="{3CD679B9-3404-4331-B9E0-E52F9B02DAEB}"/>
            </a:ext>
          </a:extLst>
        </cdr:cNvPr>
        <cdr:cNvSpPr txBox="1"/>
      </cdr:nvSpPr>
      <cdr:spPr>
        <a:xfrm xmlns:a="http://schemas.openxmlformats.org/drawingml/2006/main">
          <a:off x="3043359" y="2498275"/>
          <a:ext cx="392871" cy="3130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N5</a:t>
          </a:r>
        </a:p>
      </cdr:txBody>
    </cdr:sp>
  </cdr:relSizeAnchor>
  <cdr:relSizeAnchor xmlns:cdr="http://schemas.openxmlformats.org/drawingml/2006/chartDrawing">
    <cdr:from>
      <cdr:x>0.51069</cdr:x>
      <cdr:y>0.43464</cdr:y>
    </cdr:from>
    <cdr:to>
      <cdr:x>0.55885</cdr:x>
      <cdr:y>0.49276</cdr:y>
    </cdr:to>
    <cdr:sp macro="" textlink="">
      <cdr:nvSpPr>
        <cdr:cNvPr id="42" name="TextBox 10">
          <a:extLst xmlns:a="http://schemas.openxmlformats.org/drawingml/2006/main">
            <a:ext uri="{FF2B5EF4-FFF2-40B4-BE49-F238E27FC236}">
              <a16:creationId xmlns:a16="http://schemas.microsoft.com/office/drawing/2014/main" id="{3CD679B9-3404-4331-B9E0-E52F9B02DAEB}"/>
            </a:ext>
          </a:extLst>
        </cdr:cNvPr>
        <cdr:cNvSpPr txBox="1"/>
      </cdr:nvSpPr>
      <cdr:spPr>
        <a:xfrm xmlns:a="http://schemas.openxmlformats.org/drawingml/2006/main">
          <a:off x="4166695" y="2341455"/>
          <a:ext cx="392871" cy="3130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N4</a:t>
          </a:r>
        </a:p>
      </cdr:txBody>
    </cdr:sp>
  </cdr:relSizeAnchor>
  <cdr:relSizeAnchor xmlns:cdr="http://schemas.openxmlformats.org/drawingml/2006/chartDrawing">
    <cdr:from>
      <cdr:x>0.57426</cdr:x>
      <cdr:y>0.36048</cdr:y>
    </cdr:from>
    <cdr:to>
      <cdr:x>0.63452</cdr:x>
      <cdr:y>0.4186</cdr:y>
    </cdr:to>
    <cdr:sp macro="" textlink="">
      <cdr:nvSpPr>
        <cdr:cNvPr id="43" name="TextBox 10">
          <a:extLst xmlns:a="http://schemas.openxmlformats.org/drawingml/2006/main">
            <a:ext uri="{FF2B5EF4-FFF2-40B4-BE49-F238E27FC236}">
              <a16:creationId xmlns:a16="http://schemas.microsoft.com/office/drawing/2014/main" id="{A1008DDD-35E7-4CC5-8D86-6BD02EFD7F4A}"/>
            </a:ext>
          </a:extLst>
        </cdr:cNvPr>
        <cdr:cNvSpPr txBox="1"/>
      </cdr:nvSpPr>
      <cdr:spPr>
        <a:xfrm xmlns:a="http://schemas.openxmlformats.org/drawingml/2006/main">
          <a:off x="4675553" y="1923746"/>
          <a:ext cx="490629" cy="3101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N3B</a:t>
          </a:r>
        </a:p>
      </cdr:txBody>
    </cdr:sp>
  </cdr:relSizeAnchor>
  <cdr:relSizeAnchor xmlns:cdr="http://schemas.openxmlformats.org/drawingml/2006/chartDrawing">
    <cdr:from>
      <cdr:x>0.68864</cdr:x>
      <cdr:y>0.34791</cdr:y>
    </cdr:from>
    <cdr:to>
      <cdr:x>0.74808</cdr:x>
      <cdr:y>0.40603</cdr:y>
    </cdr:to>
    <cdr:sp macro="" textlink="">
      <cdr:nvSpPr>
        <cdr:cNvPr id="44" name="TextBox 10">
          <a:extLst xmlns:a="http://schemas.openxmlformats.org/drawingml/2006/main">
            <a:ext uri="{FF2B5EF4-FFF2-40B4-BE49-F238E27FC236}">
              <a16:creationId xmlns:a16="http://schemas.microsoft.com/office/drawing/2014/main" id="{170CD519-9AFF-4BA8-A44A-EC7E8BD3D507}"/>
            </a:ext>
          </a:extLst>
        </cdr:cNvPr>
        <cdr:cNvSpPr txBox="1"/>
      </cdr:nvSpPr>
      <cdr:spPr>
        <a:xfrm xmlns:a="http://schemas.openxmlformats.org/drawingml/2006/main">
          <a:off x="5606859" y="1856647"/>
          <a:ext cx="483953" cy="3101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N3E</a:t>
          </a:r>
        </a:p>
      </cdr:txBody>
    </cdr:sp>
  </cdr:relSizeAnchor>
  <cdr:relSizeAnchor xmlns:cdr="http://schemas.openxmlformats.org/drawingml/2006/chartDrawing">
    <cdr:from>
      <cdr:x>0.79841</cdr:x>
      <cdr:y>0.26658</cdr:y>
    </cdr:from>
    <cdr:to>
      <cdr:x>0.84656</cdr:x>
      <cdr:y>0.3247</cdr:y>
    </cdr:to>
    <cdr:sp macro="" textlink="">
      <cdr:nvSpPr>
        <cdr:cNvPr id="45" name="TextBox 10">
          <a:extLst xmlns:a="http://schemas.openxmlformats.org/drawingml/2006/main">
            <a:ext uri="{FF2B5EF4-FFF2-40B4-BE49-F238E27FC236}">
              <a16:creationId xmlns:a16="http://schemas.microsoft.com/office/drawing/2014/main" id="{6F547A10-25A7-427F-8EFE-4A93C09E55EC}"/>
            </a:ext>
          </a:extLst>
        </cdr:cNvPr>
        <cdr:cNvSpPr txBox="1"/>
      </cdr:nvSpPr>
      <cdr:spPr>
        <a:xfrm xmlns:a="http://schemas.openxmlformats.org/drawingml/2006/main">
          <a:off x="6493382" y="1424835"/>
          <a:ext cx="391598" cy="31064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N2</a:t>
          </a:r>
        </a:p>
      </cdr:txBody>
    </cdr:sp>
  </cdr:relSizeAnchor>
  <cdr:relSizeAnchor xmlns:cdr="http://schemas.openxmlformats.org/drawingml/2006/chartDrawing">
    <cdr:from>
      <cdr:x>0.41804</cdr:x>
      <cdr:y>0.56425</cdr:y>
    </cdr:from>
    <cdr:to>
      <cdr:x>0.48607</cdr:x>
      <cdr:y>0.62237</cdr:y>
    </cdr:to>
    <cdr:sp macro="" textlink="">
      <cdr:nvSpPr>
        <cdr:cNvPr id="46" name="TextBox 10">
          <a:extLst xmlns:a="http://schemas.openxmlformats.org/drawingml/2006/main">
            <a:ext uri="{FF2B5EF4-FFF2-40B4-BE49-F238E27FC236}">
              <a16:creationId xmlns:a16="http://schemas.microsoft.com/office/drawing/2014/main" id="{8AB60B34-5A53-4CC9-918D-CC0912CAFA7E}"/>
            </a:ext>
          </a:extLst>
        </cdr:cNvPr>
        <cdr:cNvSpPr txBox="1"/>
      </cdr:nvSpPr>
      <cdr:spPr>
        <a:xfrm xmlns:a="http://schemas.openxmlformats.org/drawingml/2006/main">
          <a:off x="3410766" y="3039672"/>
          <a:ext cx="555057" cy="3130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5LPE</a:t>
          </a:r>
        </a:p>
      </cdr:txBody>
    </cdr:sp>
  </cdr:relSizeAnchor>
  <cdr:relSizeAnchor xmlns:cdr="http://schemas.openxmlformats.org/drawingml/2006/chartDrawing">
    <cdr:from>
      <cdr:x>0.4899</cdr:x>
      <cdr:y>0.56201</cdr:y>
    </cdr:from>
    <cdr:to>
      <cdr:x>0.55867</cdr:x>
      <cdr:y>0.62013</cdr:y>
    </cdr:to>
    <cdr:sp macro="" textlink="">
      <cdr:nvSpPr>
        <cdr:cNvPr id="47" name="TextBox 10">
          <a:extLst xmlns:a="http://schemas.openxmlformats.org/drawingml/2006/main">
            <a:ext uri="{FF2B5EF4-FFF2-40B4-BE49-F238E27FC236}">
              <a16:creationId xmlns:a16="http://schemas.microsoft.com/office/drawing/2014/main" id="{F45A7020-C515-4D95-B17D-B8F2AFE9DCBD}"/>
            </a:ext>
          </a:extLst>
        </cdr:cNvPr>
        <cdr:cNvSpPr txBox="1"/>
      </cdr:nvSpPr>
      <cdr:spPr>
        <a:xfrm xmlns:a="http://schemas.openxmlformats.org/drawingml/2006/main">
          <a:off x="3988728" y="2999200"/>
          <a:ext cx="559917" cy="3101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5LPP</a:t>
          </a:r>
        </a:p>
      </cdr:txBody>
    </cdr:sp>
  </cdr:relSizeAnchor>
  <cdr:relSizeAnchor xmlns:cdr="http://schemas.openxmlformats.org/drawingml/2006/chartDrawing">
    <cdr:from>
      <cdr:x>0.62325</cdr:x>
      <cdr:y>0.54838</cdr:y>
    </cdr:from>
    <cdr:to>
      <cdr:x>0.66336</cdr:x>
      <cdr:y>0.6065</cdr:y>
    </cdr:to>
    <cdr:sp macro="" textlink="">
      <cdr:nvSpPr>
        <cdr:cNvPr id="48" name="TextBox 10">
          <a:extLst xmlns:a="http://schemas.openxmlformats.org/drawingml/2006/main">
            <a:ext uri="{FF2B5EF4-FFF2-40B4-BE49-F238E27FC236}">
              <a16:creationId xmlns:a16="http://schemas.microsoft.com/office/drawing/2014/main" id="{F45A7020-C515-4D95-B17D-B8F2AFE9DCBD}"/>
            </a:ext>
          </a:extLst>
        </cdr:cNvPr>
        <cdr:cNvSpPr txBox="1"/>
      </cdr:nvSpPr>
      <cdr:spPr>
        <a:xfrm xmlns:a="http://schemas.openxmlformats.org/drawingml/2006/main">
          <a:off x="5074390" y="2926438"/>
          <a:ext cx="326571" cy="3101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I4</a:t>
          </a:r>
        </a:p>
      </cdr:txBody>
    </cdr:sp>
  </cdr:relSizeAnchor>
  <cdr:relSizeAnchor xmlns:cdr="http://schemas.openxmlformats.org/drawingml/2006/chartDrawing">
    <cdr:from>
      <cdr:x>0.71055</cdr:x>
      <cdr:y>0.52902</cdr:y>
    </cdr:from>
    <cdr:to>
      <cdr:x>0.75066</cdr:x>
      <cdr:y>0.58714</cdr:y>
    </cdr:to>
    <cdr:sp macro="" textlink="">
      <cdr:nvSpPr>
        <cdr:cNvPr id="49" name="TextBox 10">
          <a:extLst xmlns:a="http://schemas.openxmlformats.org/drawingml/2006/main">
            <a:ext uri="{FF2B5EF4-FFF2-40B4-BE49-F238E27FC236}">
              <a16:creationId xmlns:a16="http://schemas.microsoft.com/office/drawing/2014/main" id="{C34D3662-E8E5-4DD3-8DB6-6BE084B79803}"/>
            </a:ext>
          </a:extLst>
        </cdr:cNvPr>
        <cdr:cNvSpPr txBox="1"/>
      </cdr:nvSpPr>
      <cdr:spPr>
        <a:xfrm xmlns:a="http://schemas.openxmlformats.org/drawingml/2006/main">
          <a:off x="5785175" y="2823150"/>
          <a:ext cx="326571" cy="3101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I3</a:t>
          </a:r>
        </a:p>
      </cdr:txBody>
    </cdr:sp>
  </cdr:relSizeAnchor>
  <cdr:relSizeAnchor xmlns:cdr="http://schemas.openxmlformats.org/drawingml/2006/chartDrawing">
    <cdr:from>
      <cdr:x>0.7273</cdr:x>
      <cdr:y>0.41641</cdr:y>
    </cdr:from>
    <cdr:to>
      <cdr:x>0.79147</cdr:x>
      <cdr:y>0.47453</cdr:y>
    </cdr:to>
    <cdr:sp macro="" textlink="">
      <cdr:nvSpPr>
        <cdr:cNvPr id="50" name="TextBox 10">
          <a:extLst xmlns:a="http://schemas.openxmlformats.org/drawingml/2006/main">
            <a:ext uri="{FF2B5EF4-FFF2-40B4-BE49-F238E27FC236}">
              <a16:creationId xmlns:a16="http://schemas.microsoft.com/office/drawing/2014/main" id="{C34D3662-E8E5-4DD3-8DB6-6BE084B79803}"/>
            </a:ext>
          </a:extLst>
        </cdr:cNvPr>
        <cdr:cNvSpPr txBox="1"/>
      </cdr:nvSpPr>
      <cdr:spPr>
        <a:xfrm xmlns:a="http://schemas.openxmlformats.org/drawingml/2006/main">
          <a:off x="5902604" y="2228247"/>
          <a:ext cx="520791" cy="31100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I20A</a:t>
          </a:r>
        </a:p>
      </cdr:txBody>
    </cdr:sp>
  </cdr:relSizeAnchor>
  <cdr:relSizeAnchor xmlns:cdr="http://schemas.openxmlformats.org/drawingml/2006/chartDrawing">
    <cdr:from>
      <cdr:x>0.71808</cdr:x>
      <cdr:y>0.30607</cdr:y>
    </cdr:from>
    <cdr:to>
      <cdr:x>0.78225</cdr:x>
      <cdr:y>0.36419</cdr:y>
    </cdr:to>
    <cdr:sp macro="" textlink="">
      <cdr:nvSpPr>
        <cdr:cNvPr id="51" name="TextBox 10">
          <a:extLst xmlns:a="http://schemas.openxmlformats.org/drawingml/2006/main">
            <a:ext uri="{FF2B5EF4-FFF2-40B4-BE49-F238E27FC236}">
              <a16:creationId xmlns:a16="http://schemas.microsoft.com/office/drawing/2014/main" id="{97932C53-D20B-4396-881B-CB1ECA57E55D}"/>
            </a:ext>
          </a:extLst>
        </cdr:cNvPr>
        <cdr:cNvSpPr txBox="1"/>
      </cdr:nvSpPr>
      <cdr:spPr>
        <a:xfrm xmlns:a="http://schemas.openxmlformats.org/drawingml/2006/main">
          <a:off x="5827814" y="1637277"/>
          <a:ext cx="520792" cy="3109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I18A</a:t>
          </a:r>
        </a:p>
      </cdr:txBody>
    </cdr:sp>
  </cdr:relSizeAnchor>
  <cdr:relSizeAnchor xmlns:cdr="http://schemas.openxmlformats.org/drawingml/2006/chartDrawing">
    <cdr:from>
      <cdr:x>0.8333</cdr:x>
      <cdr:y>0.32319</cdr:y>
    </cdr:from>
    <cdr:to>
      <cdr:x>0.89747</cdr:x>
      <cdr:y>0.38131</cdr:y>
    </cdr:to>
    <cdr:sp macro="" textlink="">
      <cdr:nvSpPr>
        <cdr:cNvPr id="52" name="TextBox 10">
          <a:extLst xmlns:a="http://schemas.openxmlformats.org/drawingml/2006/main">
            <a:ext uri="{FF2B5EF4-FFF2-40B4-BE49-F238E27FC236}">
              <a16:creationId xmlns:a16="http://schemas.microsoft.com/office/drawing/2014/main" id="{97932C53-D20B-4396-881B-CB1ECA57E55D}"/>
            </a:ext>
          </a:extLst>
        </cdr:cNvPr>
        <cdr:cNvSpPr txBox="1"/>
      </cdr:nvSpPr>
      <cdr:spPr>
        <a:xfrm xmlns:a="http://schemas.openxmlformats.org/drawingml/2006/main">
          <a:off x="6777124" y="1727395"/>
          <a:ext cx="521888" cy="31064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I16A</a:t>
          </a:r>
        </a:p>
      </cdr:txBody>
    </cdr:sp>
  </cdr:relSizeAnchor>
  <cdr:relSizeAnchor xmlns:cdr="http://schemas.openxmlformats.org/drawingml/2006/chartDrawing">
    <cdr:from>
      <cdr:x>0.54274</cdr:x>
      <cdr:y>0.50686</cdr:y>
    </cdr:from>
    <cdr:to>
      <cdr:x>0.61077</cdr:x>
      <cdr:y>0.56498</cdr:y>
    </cdr:to>
    <cdr:sp macro="" textlink="">
      <cdr:nvSpPr>
        <cdr:cNvPr id="53" name="TextBox 10">
          <a:extLst xmlns:a="http://schemas.openxmlformats.org/drawingml/2006/main">
            <a:ext uri="{FF2B5EF4-FFF2-40B4-BE49-F238E27FC236}">
              <a16:creationId xmlns:a16="http://schemas.microsoft.com/office/drawing/2014/main" id="{3403F56B-008D-4ED1-AE51-D4681DEC570B}"/>
            </a:ext>
          </a:extLst>
        </cdr:cNvPr>
        <cdr:cNvSpPr txBox="1"/>
      </cdr:nvSpPr>
      <cdr:spPr>
        <a:xfrm xmlns:a="http://schemas.openxmlformats.org/drawingml/2006/main">
          <a:off x="4418946" y="2704890"/>
          <a:ext cx="553892" cy="3101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4LPE</a:t>
          </a:r>
        </a:p>
      </cdr:txBody>
    </cdr:sp>
  </cdr:relSizeAnchor>
  <cdr:relSizeAnchor xmlns:cdr="http://schemas.openxmlformats.org/drawingml/2006/chartDrawing">
    <cdr:from>
      <cdr:x>0.62578</cdr:x>
      <cdr:y>0.50157</cdr:y>
    </cdr:from>
    <cdr:to>
      <cdr:x>0.69454</cdr:x>
      <cdr:y>0.55969</cdr:y>
    </cdr:to>
    <cdr:sp macro="" textlink="">
      <cdr:nvSpPr>
        <cdr:cNvPr id="54" name="TextBox 10">
          <a:extLst xmlns:a="http://schemas.openxmlformats.org/drawingml/2006/main">
            <a:ext uri="{FF2B5EF4-FFF2-40B4-BE49-F238E27FC236}">
              <a16:creationId xmlns:a16="http://schemas.microsoft.com/office/drawing/2014/main" id="{6647D76D-E04B-40E2-AB7B-4EC850F4D109}"/>
            </a:ext>
          </a:extLst>
        </cdr:cNvPr>
        <cdr:cNvSpPr txBox="1"/>
      </cdr:nvSpPr>
      <cdr:spPr>
        <a:xfrm xmlns:a="http://schemas.openxmlformats.org/drawingml/2006/main">
          <a:off x="5095011" y="2676633"/>
          <a:ext cx="559836" cy="3101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4LPP</a:t>
          </a:r>
        </a:p>
      </cdr:txBody>
    </cdr:sp>
  </cdr:relSizeAnchor>
  <cdr:relSizeAnchor xmlns:cdr="http://schemas.openxmlformats.org/drawingml/2006/chartDrawing">
    <cdr:from>
      <cdr:x>0.62613</cdr:x>
      <cdr:y>0.35364</cdr:y>
    </cdr:from>
    <cdr:to>
      <cdr:x>0.69848</cdr:x>
      <cdr:y>0.41176</cdr:y>
    </cdr:to>
    <cdr:sp macro="" textlink="">
      <cdr:nvSpPr>
        <cdr:cNvPr id="55" name="TextBox 10">
          <a:extLst xmlns:a="http://schemas.openxmlformats.org/drawingml/2006/main">
            <a:ext uri="{FF2B5EF4-FFF2-40B4-BE49-F238E27FC236}">
              <a16:creationId xmlns:a16="http://schemas.microsoft.com/office/drawing/2014/main" id="{6647D76D-E04B-40E2-AB7B-4EC850F4D109}"/>
            </a:ext>
          </a:extLst>
        </cdr:cNvPr>
        <cdr:cNvSpPr txBox="1"/>
      </cdr:nvSpPr>
      <cdr:spPr>
        <a:xfrm xmlns:a="http://schemas.openxmlformats.org/drawingml/2006/main">
          <a:off x="5108491" y="1905108"/>
          <a:ext cx="590313" cy="3130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3GAP</a:t>
          </a:r>
        </a:p>
      </cdr:txBody>
    </cdr:sp>
  </cdr:relSizeAnchor>
  <cdr:relSizeAnchor xmlns:cdr="http://schemas.openxmlformats.org/drawingml/2006/chartDrawing">
    <cdr:from>
      <cdr:x>0.56018</cdr:x>
      <cdr:y>0.45395</cdr:y>
    </cdr:from>
    <cdr:to>
      <cdr:x>0.63145</cdr:x>
      <cdr:y>0.512</cdr:y>
    </cdr:to>
    <cdr:sp macro="" textlink="">
      <cdr:nvSpPr>
        <cdr:cNvPr id="56" name="TextBox 10">
          <a:extLst xmlns:a="http://schemas.openxmlformats.org/drawingml/2006/main">
            <a:ext uri="{FF2B5EF4-FFF2-40B4-BE49-F238E27FC236}">
              <a16:creationId xmlns:a16="http://schemas.microsoft.com/office/drawing/2014/main" id="{BD2557FD-2290-4D93-8755-3007B1325113}"/>
            </a:ext>
          </a:extLst>
        </cdr:cNvPr>
        <cdr:cNvSpPr txBox="1"/>
      </cdr:nvSpPr>
      <cdr:spPr>
        <a:xfrm xmlns:a="http://schemas.openxmlformats.org/drawingml/2006/main">
          <a:off x="4560893" y="2422528"/>
          <a:ext cx="580272" cy="30978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3GAE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0.22995</cdr:x>
      <cdr:y>0.02172</cdr:y>
    </cdr:from>
    <cdr:to>
      <cdr:x>0.77324</cdr:x>
      <cdr:y>0.21637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F09A803C-9260-4AE6-91F6-425AE37C0004}"/>
            </a:ext>
          </a:extLst>
        </cdr:cNvPr>
        <cdr:cNvSpPr txBox="1"/>
      </cdr:nvSpPr>
      <cdr:spPr>
        <a:xfrm xmlns:a="http://schemas.openxmlformats.org/drawingml/2006/main">
          <a:off x="1844632" y="107673"/>
          <a:ext cx="4358178" cy="964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="1" baseline="0"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 </a:t>
          </a:r>
          <a:endParaRPr lang="en-US" sz="1800" b="1">
            <a:latin typeface="Intel Clear" panose="020B0604020203020204" pitchFamily="34" charset="0"/>
            <a:ea typeface="Intel Clear" panose="020B0604020203020204" pitchFamily="34" charset="0"/>
            <a:cs typeface="Intel Clear" panose="020B0604020203020204" pitchFamily="34" charset="0"/>
          </a:endParaRPr>
        </a:p>
      </cdr:txBody>
    </cdr:sp>
  </cdr:relSizeAnchor>
  <cdr:relSizeAnchor xmlns:cdr="http://schemas.openxmlformats.org/drawingml/2006/chartDrawing">
    <cdr:from>
      <cdr:x>0.17302</cdr:x>
      <cdr:y>0.64831</cdr:y>
    </cdr:from>
    <cdr:to>
      <cdr:x>0.22062</cdr:x>
      <cdr:y>0.70503</cdr:y>
    </cdr:to>
    <cdr:sp macro="" textlink="">
      <cdr:nvSpPr>
        <cdr:cNvPr id="26" name="TextBox 10">
          <a:extLst xmlns:a="http://schemas.openxmlformats.org/drawingml/2006/main">
            <a:ext uri="{FF2B5EF4-FFF2-40B4-BE49-F238E27FC236}">
              <a16:creationId xmlns:a16="http://schemas.microsoft.com/office/drawing/2014/main" id="{80AB0ABB-FA90-49E2-89F4-690CD0E0E701}"/>
            </a:ext>
          </a:extLst>
        </cdr:cNvPr>
        <cdr:cNvSpPr txBox="1"/>
      </cdr:nvSpPr>
      <cdr:spPr>
        <a:xfrm xmlns:a="http://schemas.openxmlformats.org/drawingml/2006/main">
          <a:off x="1404226" y="3477091"/>
          <a:ext cx="386313" cy="30420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N7</a:t>
          </a:r>
        </a:p>
      </cdr:txBody>
    </cdr:sp>
  </cdr:relSizeAnchor>
  <cdr:relSizeAnchor xmlns:cdr="http://schemas.openxmlformats.org/drawingml/2006/chartDrawing">
    <cdr:from>
      <cdr:x>0.29596</cdr:x>
      <cdr:y>0.61556</cdr:y>
    </cdr:from>
    <cdr:to>
      <cdr:x>0.35546</cdr:x>
      <cdr:y>0.67368</cdr:y>
    </cdr:to>
    <cdr:sp macro="" textlink="">
      <cdr:nvSpPr>
        <cdr:cNvPr id="40" name="TextBox 10">
          <a:extLst xmlns:a="http://schemas.openxmlformats.org/drawingml/2006/main">
            <a:ext uri="{FF2B5EF4-FFF2-40B4-BE49-F238E27FC236}">
              <a16:creationId xmlns:a16="http://schemas.microsoft.com/office/drawing/2014/main" id="{B285F840-7927-4028-BF01-01CDFDDE663D}"/>
            </a:ext>
          </a:extLst>
        </cdr:cNvPr>
        <cdr:cNvSpPr txBox="1"/>
      </cdr:nvSpPr>
      <cdr:spPr>
        <a:xfrm xmlns:a="http://schemas.openxmlformats.org/drawingml/2006/main">
          <a:off x="2401977" y="3301452"/>
          <a:ext cx="482890" cy="311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N7+</a:t>
          </a:r>
        </a:p>
      </cdr:txBody>
    </cdr:sp>
  </cdr:relSizeAnchor>
  <cdr:relSizeAnchor xmlns:cdr="http://schemas.openxmlformats.org/drawingml/2006/chartDrawing">
    <cdr:from>
      <cdr:x>0.3777</cdr:x>
      <cdr:y>0.52058</cdr:y>
    </cdr:from>
    <cdr:to>
      <cdr:x>0.42585</cdr:x>
      <cdr:y>0.5787</cdr:y>
    </cdr:to>
    <cdr:sp macro="" textlink="">
      <cdr:nvSpPr>
        <cdr:cNvPr id="41" name="TextBox 10">
          <a:extLst xmlns:a="http://schemas.openxmlformats.org/drawingml/2006/main">
            <a:ext uri="{FF2B5EF4-FFF2-40B4-BE49-F238E27FC236}">
              <a16:creationId xmlns:a16="http://schemas.microsoft.com/office/drawing/2014/main" id="{3CD679B9-3404-4331-B9E0-E52F9B02DAEB}"/>
            </a:ext>
          </a:extLst>
        </cdr:cNvPr>
        <cdr:cNvSpPr txBox="1"/>
      </cdr:nvSpPr>
      <cdr:spPr>
        <a:xfrm xmlns:a="http://schemas.openxmlformats.org/drawingml/2006/main">
          <a:off x="3065377" y="2792051"/>
          <a:ext cx="390777" cy="31171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N5</a:t>
          </a:r>
        </a:p>
      </cdr:txBody>
    </cdr:sp>
  </cdr:relSizeAnchor>
  <cdr:relSizeAnchor xmlns:cdr="http://schemas.openxmlformats.org/drawingml/2006/chartDrawing">
    <cdr:from>
      <cdr:x>0.51069</cdr:x>
      <cdr:y>0.51101</cdr:y>
    </cdr:from>
    <cdr:to>
      <cdr:x>0.55885</cdr:x>
      <cdr:y>0.56913</cdr:y>
    </cdr:to>
    <cdr:sp macro="" textlink="">
      <cdr:nvSpPr>
        <cdr:cNvPr id="42" name="TextBox 10">
          <a:extLst xmlns:a="http://schemas.openxmlformats.org/drawingml/2006/main">
            <a:ext uri="{FF2B5EF4-FFF2-40B4-BE49-F238E27FC236}">
              <a16:creationId xmlns:a16="http://schemas.microsoft.com/office/drawing/2014/main" id="{3CD679B9-3404-4331-B9E0-E52F9B02DAEB}"/>
            </a:ext>
          </a:extLst>
        </cdr:cNvPr>
        <cdr:cNvSpPr txBox="1"/>
      </cdr:nvSpPr>
      <cdr:spPr>
        <a:xfrm xmlns:a="http://schemas.openxmlformats.org/drawingml/2006/main">
          <a:off x="4144662" y="2740700"/>
          <a:ext cx="390857" cy="311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N4</a:t>
          </a:r>
        </a:p>
      </cdr:txBody>
    </cdr:sp>
  </cdr:relSizeAnchor>
  <cdr:relSizeAnchor xmlns:cdr="http://schemas.openxmlformats.org/drawingml/2006/chartDrawing">
    <cdr:from>
      <cdr:x>0.56604</cdr:x>
      <cdr:y>0.41578</cdr:y>
    </cdr:from>
    <cdr:to>
      <cdr:x>0.6263</cdr:x>
      <cdr:y>0.4739</cdr:y>
    </cdr:to>
    <cdr:sp macro="" textlink="">
      <cdr:nvSpPr>
        <cdr:cNvPr id="43" name="TextBox 10">
          <a:extLst xmlns:a="http://schemas.openxmlformats.org/drawingml/2006/main">
            <a:ext uri="{FF2B5EF4-FFF2-40B4-BE49-F238E27FC236}">
              <a16:creationId xmlns:a16="http://schemas.microsoft.com/office/drawing/2014/main" id="{A1008DDD-35E7-4CC5-8D86-6BD02EFD7F4A}"/>
            </a:ext>
          </a:extLst>
        </cdr:cNvPr>
        <cdr:cNvSpPr txBox="1"/>
      </cdr:nvSpPr>
      <cdr:spPr>
        <a:xfrm xmlns:a="http://schemas.openxmlformats.org/drawingml/2006/main">
          <a:off x="4593909" y="2220226"/>
          <a:ext cx="489058" cy="31035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N3B</a:t>
          </a:r>
        </a:p>
      </cdr:txBody>
    </cdr:sp>
  </cdr:relSizeAnchor>
  <cdr:relSizeAnchor xmlns:cdr="http://schemas.openxmlformats.org/drawingml/2006/chartDrawing">
    <cdr:from>
      <cdr:x>0.64874</cdr:x>
      <cdr:y>0.3604</cdr:y>
    </cdr:from>
    <cdr:to>
      <cdr:x>0.70818</cdr:x>
      <cdr:y>0.41852</cdr:y>
    </cdr:to>
    <cdr:sp macro="" textlink="">
      <cdr:nvSpPr>
        <cdr:cNvPr id="44" name="TextBox 10">
          <a:extLst xmlns:a="http://schemas.openxmlformats.org/drawingml/2006/main">
            <a:ext uri="{FF2B5EF4-FFF2-40B4-BE49-F238E27FC236}">
              <a16:creationId xmlns:a16="http://schemas.microsoft.com/office/drawing/2014/main" id="{170CD519-9AFF-4BA8-A44A-EC7E8BD3D507}"/>
            </a:ext>
          </a:extLst>
        </cdr:cNvPr>
        <cdr:cNvSpPr txBox="1"/>
      </cdr:nvSpPr>
      <cdr:spPr>
        <a:xfrm xmlns:a="http://schemas.openxmlformats.org/drawingml/2006/main">
          <a:off x="5265020" y="1924503"/>
          <a:ext cx="482404" cy="3103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N3E</a:t>
          </a:r>
        </a:p>
      </cdr:txBody>
    </cdr:sp>
  </cdr:relSizeAnchor>
  <cdr:relSizeAnchor xmlns:cdr="http://schemas.openxmlformats.org/drawingml/2006/chartDrawing">
    <cdr:from>
      <cdr:x>0.78902</cdr:x>
      <cdr:y>0.29497</cdr:y>
    </cdr:from>
    <cdr:to>
      <cdr:x>0.83717</cdr:x>
      <cdr:y>0.35309</cdr:y>
    </cdr:to>
    <cdr:sp macro="" textlink="">
      <cdr:nvSpPr>
        <cdr:cNvPr id="45" name="TextBox 10">
          <a:extLst xmlns:a="http://schemas.openxmlformats.org/drawingml/2006/main">
            <a:ext uri="{FF2B5EF4-FFF2-40B4-BE49-F238E27FC236}">
              <a16:creationId xmlns:a16="http://schemas.microsoft.com/office/drawing/2014/main" id="{6F547A10-25A7-427F-8EFE-4A93C09E55EC}"/>
            </a:ext>
          </a:extLst>
        </cdr:cNvPr>
        <cdr:cNvSpPr txBox="1"/>
      </cdr:nvSpPr>
      <cdr:spPr>
        <a:xfrm xmlns:a="http://schemas.openxmlformats.org/drawingml/2006/main">
          <a:off x="6403557" y="1575104"/>
          <a:ext cx="390776" cy="31035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FF000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N2</a:t>
          </a:r>
        </a:p>
      </cdr:txBody>
    </cdr:sp>
  </cdr:relSizeAnchor>
  <cdr:relSizeAnchor xmlns:cdr="http://schemas.openxmlformats.org/drawingml/2006/chartDrawing">
    <cdr:from>
      <cdr:x>0.40044</cdr:x>
      <cdr:y>0.69745</cdr:y>
    </cdr:from>
    <cdr:to>
      <cdr:x>0.46847</cdr:x>
      <cdr:y>0.75557</cdr:y>
    </cdr:to>
    <cdr:sp macro="" textlink="">
      <cdr:nvSpPr>
        <cdr:cNvPr id="46" name="TextBox 10">
          <a:extLst xmlns:a="http://schemas.openxmlformats.org/drawingml/2006/main">
            <a:ext uri="{FF2B5EF4-FFF2-40B4-BE49-F238E27FC236}">
              <a16:creationId xmlns:a16="http://schemas.microsoft.com/office/drawing/2014/main" id="{8AB60B34-5A53-4CC9-918D-CC0912CAFA7E}"/>
            </a:ext>
          </a:extLst>
        </cdr:cNvPr>
        <cdr:cNvSpPr txBox="1"/>
      </cdr:nvSpPr>
      <cdr:spPr>
        <a:xfrm xmlns:a="http://schemas.openxmlformats.org/drawingml/2006/main">
          <a:off x="3249857" y="3740643"/>
          <a:ext cx="552118" cy="311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5LPE</a:t>
          </a:r>
        </a:p>
      </cdr:txBody>
    </cdr:sp>
  </cdr:relSizeAnchor>
  <cdr:relSizeAnchor xmlns:cdr="http://schemas.openxmlformats.org/drawingml/2006/chartDrawing">
    <cdr:from>
      <cdr:x>0.46408</cdr:x>
      <cdr:y>0.63482</cdr:y>
    </cdr:from>
    <cdr:to>
      <cdr:x>0.53285</cdr:x>
      <cdr:y>0.69294</cdr:y>
    </cdr:to>
    <cdr:sp macro="" textlink="">
      <cdr:nvSpPr>
        <cdr:cNvPr id="47" name="TextBox 10">
          <a:extLst xmlns:a="http://schemas.openxmlformats.org/drawingml/2006/main">
            <a:ext uri="{FF2B5EF4-FFF2-40B4-BE49-F238E27FC236}">
              <a16:creationId xmlns:a16="http://schemas.microsoft.com/office/drawing/2014/main" id="{F45A7020-C515-4D95-B17D-B8F2AFE9DCBD}"/>
            </a:ext>
          </a:extLst>
        </cdr:cNvPr>
        <cdr:cNvSpPr txBox="1"/>
      </cdr:nvSpPr>
      <cdr:spPr>
        <a:xfrm xmlns:a="http://schemas.openxmlformats.org/drawingml/2006/main">
          <a:off x="3766385" y="3404779"/>
          <a:ext cx="558124" cy="311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5LPP</a:t>
          </a:r>
        </a:p>
      </cdr:txBody>
    </cdr:sp>
  </cdr:relSizeAnchor>
  <cdr:relSizeAnchor xmlns:cdr="http://schemas.openxmlformats.org/drawingml/2006/chartDrawing">
    <cdr:from>
      <cdr:x>0.5986</cdr:x>
      <cdr:y>0.66026</cdr:y>
    </cdr:from>
    <cdr:to>
      <cdr:x>0.63871</cdr:x>
      <cdr:y>0.71838</cdr:y>
    </cdr:to>
    <cdr:sp macro="" textlink="">
      <cdr:nvSpPr>
        <cdr:cNvPr id="48" name="TextBox 10">
          <a:extLst xmlns:a="http://schemas.openxmlformats.org/drawingml/2006/main">
            <a:ext uri="{FF2B5EF4-FFF2-40B4-BE49-F238E27FC236}">
              <a16:creationId xmlns:a16="http://schemas.microsoft.com/office/drawing/2014/main" id="{F45A7020-C515-4D95-B17D-B8F2AFE9DCBD}"/>
            </a:ext>
          </a:extLst>
        </cdr:cNvPr>
        <cdr:cNvSpPr txBox="1"/>
      </cdr:nvSpPr>
      <cdr:spPr>
        <a:xfrm xmlns:a="http://schemas.openxmlformats.org/drawingml/2006/main">
          <a:off x="4858152" y="3541226"/>
          <a:ext cx="325525" cy="31171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I4</a:t>
          </a:r>
        </a:p>
      </cdr:txBody>
    </cdr:sp>
  </cdr:relSizeAnchor>
  <cdr:relSizeAnchor xmlns:cdr="http://schemas.openxmlformats.org/drawingml/2006/chartDrawing">
    <cdr:from>
      <cdr:x>0.70703</cdr:x>
      <cdr:y>0.47219</cdr:y>
    </cdr:from>
    <cdr:to>
      <cdr:x>0.74714</cdr:x>
      <cdr:y>0.53031</cdr:y>
    </cdr:to>
    <cdr:sp macro="" textlink="">
      <cdr:nvSpPr>
        <cdr:cNvPr id="49" name="TextBox 10">
          <a:extLst xmlns:a="http://schemas.openxmlformats.org/drawingml/2006/main">
            <a:ext uri="{FF2B5EF4-FFF2-40B4-BE49-F238E27FC236}">
              <a16:creationId xmlns:a16="http://schemas.microsoft.com/office/drawing/2014/main" id="{C34D3662-E8E5-4DD3-8DB6-6BE084B79803}"/>
            </a:ext>
          </a:extLst>
        </cdr:cNvPr>
        <cdr:cNvSpPr txBox="1"/>
      </cdr:nvSpPr>
      <cdr:spPr>
        <a:xfrm xmlns:a="http://schemas.openxmlformats.org/drawingml/2006/main">
          <a:off x="5738112" y="2532517"/>
          <a:ext cx="325525" cy="3117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I3</a:t>
          </a:r>
        </a:p>
      </cdr:txBody>
    </cdr:sp>
  </cdr:relSizeAnchor>
  <cdr:relSizeAnchor xmlns:cdr="http://schemas.openxmlformats.org/drawingml/2006/chartDrawing">
    <cdr:from>
      <cdr:x>0.69092</cdr:x>
      <cdr:y>0.32962</cdr:y>
    </cdr:from>
    <cdr:to>
      <cdr:x>0.75509</cdr:x>
      <cdr:y>0.38774</cdr:y>
    </cdr:to>
    <cdr:sp macro="" textlink="">
      <cdr:nvSpPr>
        <cdr:cNvPr id="50" name="TextBox 10">
          <a:extLst xmlns:a="http://schemas.openxmlformats.org/drawingml/2006/main">
            <a:ext uri="{FF2B5EF4-FFF2-40B4-BE49-F238E27FC236}">
              <a16:creationId xmlns:a16="http://schemas.microsoft.com/office/drawing/2014/main" id="{C34D3662-E8E5-4DD3-8DB6-6BE084B79803}"/>
            </a:ext>
          </a:extLst>
        </cdr:cNvPr>
        <cdr:cNvSpPr txBox="1"/>
      </cdr:nvSpPr>
      <cdr:spPr>
        <a:xfrm xmlns:a="http://schemas.openxmlformats.org/drawingml/2006/main">
          <a:off x="5607374" y="1760148"/>
          <a:ext cx="520792" cy="31035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I20A</a:t>
          </a:r>
        </a:p>
      </cdr:txBody>
    </cdr:sp>
  </cdr:relSizeAnchor>
  <cdr:relSizeAnchor xmlns:cdr="http://schemas.openxmlformats.org/drawingml/2006/chartDrawing">
    <cdr:from>
      <cdr:x>0.70297</cdr:x>
      <cdr:y>0.27651</cdr:y>
    </cdr:from>
    <cdr:to>
      <cdr:x>0.76714</cdr:x>
      <cdr:y>0.33462</cdr:y>
    </cdr:to>
    <cdr:sp macro="" textlink="">
      <cdr:nvSpPr>
        <cdr:cNvPr id="51" name="TextBox 10">
          <a:extLst xmlns:a="http://schemas.openxmlformats.org/drawingml/2006/main">
            <a:ext uri="{FF2B5EF4-FFF2-40B4-BE49-F238E27FC236}">
              <a16:creationId xmlns:a16="http://schemas.microsoft.com/office/drawing/2014/main" id="{97932C53-D20B-4396-881B-CB1ECA57E55D}"/>
            </a:ext>
          </a:extLst>
        </cdr:cNvPr>
        <cdr:cNvSpPr txBox="1"/>
      </cdr:nvSpPr>
      <cdr:spPr>
        <a:xfrm xmlns:a="http://schemas.openxmlformats.org/drawingml/2006/main">
          <a:off x="5730071" y="1498271"/>
          <a:ext cx="523061" cy="3148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I18A</a:t>
          </a:r>
        </a:p>
      </cdr:txBody>
    </cdr:sp>
  </cdr:relSizeAnchor>
  <cdr:relSizeAnchor xmlns:cdr="http://schemas.openxmlformats.org/drawingml/2006/chartDrawing">
    <cdr:from>
      <cdr:x>0.80983</cdr:x>
      <cdr:y>0.17401</cdr:y>
    </cdr:from>
    <cdr:to>
      <cdr:x>0.874</cdr:x>
      <cdr:y>0.23213</cdr:y>
    </cdr:to>
    <cdr:sp macro="" textlink="">
      <cdr:nvSpPr>
        <cdr:cNvPr id="52" name="TextBox 10">
          <a:extLst xmlns:a="http://schemas.openxmlformats.org/drawingml/2006/main">
            <a:ext uri="{FF2B5EF4-FFF2-40B4-BE49-F238E27FC236}">
              <a16:creationId xmlns:a16="http://schemas.microsoft.com/office/drawing/2014/main" id="{97932C53-D20B-4396-881B-CB1ECA57E55D}"/>
            </a:ext>
          </a:extLst>
        </cdr:cNvPr>
        <cdr:cNvSpPr txBox="1"/>
      </cdr:nvSpPr>
      <cdr:spPr>
        <a:xfrm xmlns:a="http://schemas.openxmlformats.org/drawingml/2006/main">
          <a:off x="6572403" y="933279"/>
          <a:ext cx="520791" cy="31171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I16A</a:t>
          </a:r>
        </a:p>
      </cdr:txBody>
    </cdr:sp>
  </cdr:relSizeAnchor>
  <cdr:relSizeAnchor xmlns:cdr="http://schemas.openxmlformats.org/drawingml/2006/chartDrawing">
    <cdr:from>
      <cdr:x>0.47701</cdr:x>
      <cdr:y>0.57432</cdr:y>
    </cdr:from>
    <cdr:to>
      <cdr:x>0.54504</cdr:x>
      <cdr:y>0.63244</cdr:y>
    </cdr:to>
    <cdr:sp macro="" textlink="">
      <cdr:nvSpPr>
        <cdr:cNvPr id="53" name="TextBox 10">
          <a:extLst xmlns:a="http://schemas.openxmlformats.org/drawingml/2006/main">
            <a:ext uri="{FF2B5EF4-FFF2-40B4-BE49-F238E27FC236}">
              <a16:creationId xmlns:a16="http://schemas.microsoft.com/office/drawing/2014/main" id="{3403F56B-008D-4ED1-AE51-D4681DEC570B}"/>
            </a:ext>
          </a:extLst>
        </cdr:cNvPr>
        <cdr:cNvSpPr txBox="1"/>
      </cdr:nvSpPr>
      <cdr:spPr>
        <a:xfrm xmlns:a="http://schemas.openxmlformats.org/drawingml/2006/main">
          <a:off x="3871351" y="3066843"/>
          <a:ext cx="552118" cy="31035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4LPE</a:t>
          </a:r>
        </a:p>
      </cdr:txBody>
    </cdr:sp>
  </cdr:relSizeAnchor>
  <cdr:relSizeAnchor xmlns:cdr="http://schemas.openxmlformats.org/drawingml/2006/chartDrawing">
    <cdr:from>
      <cdr:x>0.63165</cdr:x>
      <cdr:y>0.52833</cdr:y>
    </cdr:from>
    <cdr:to>
      <cdr:x>0.70041</cdr:x>
      <cdr:y>0.58645</cdr:y>
    </cdr:to>
    <cdr:sp macro="" textlink="">
      <cdr:nvSpPr>
        <cdr:cNvPr id="54" name="TextBox 10">
          <a:extLst xmlns:a="http://schemas.openxmlformats.org/drawingml/2006/main">
            <a:ext uri="{FF2B5EF4-FFF2-40B4-BE49-F238E27FC236}">
              <a16:creationId xmlns:a16="http://schemas.microsoft.com/office/drawing/2014/main" id="{6647D76D-E04B-40E2-AB7B-4EC850F4D109}"/>
            </a:ext>
          </a:extLst>
        </cdr:cNvPr>
        <cdr:cNvSpPr txBox="1"/>
      </cdr:nvSpPr>
      <cdr:spPr>
        <a:xfrm xmlns:a="http://schemas.openxmlformats.org/drawingml/2006/main">
          <a:off x="5126335" y="2821242"/>
          <a:ext cx="558043" cy="31035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4LPP</a:t>
          </a:r>
        </a:p>
      </cdr:txBody>
    </cdr:sp>
  </cdr:relSizeAnchor>
  <cdr:relSizeAnchor xmlns:cdr="http://schemas.openxmlformats.org/drawingml/2006/chartDrawing">
    <cdr:from>
      <cdr:x>0.61791</cdr:x>
      <cdr:y>0.39288</cdr:y>
    </cdr:from>
    <cdr:to>
      <cdr:x>0.69026</cdr:x>
      <cdr:y>0.451</cdr:y>
    </cdr:to>
    <cdr:sp macro="" textlink="">
      <cdr:nvSpPr>
        <cdr:cNvPr id="55" name="TextBox 10">
          <a:extLst xmlns:a="http://schemas.openxmlformats.org/drawingml/2006/main">
            <a:ext uri="{FF2B5EF4-FFF2-40B4-BE49-F238E27FC236}">
              <a16:creationId xmlns:a16="http://schemas.microsoft.com/office/drawing/2014/main" id="{6647D76D-E04B-40E2-AB7B-4EC850F4D109}"/>
            </a:ext>
          </a:extLst>
        </cdr:cNvPr>
        <cdr:cNvSpPr txBox="1"/>
      </cdr:nvSpPr>
      <cdr:spPr>
        <a:xfrm xmlns:a="http://schemas.openxmlformats.org/drawingml/2006/main">
          <a:off x="5014876" y="2097976"/>
          <a:ext cx="587179" cy="3103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3GAP</a:t>
          </a:r>
        </a:p>
      </cdr:txBody>
    </cdr:sp>
  </cdr:relSizeAnchor>
  <cdr:relSizeAnchor xmlns:cdr="http://schemas.openxmlformats.org/drawingml/2006/chartDrawing">
    <cdr:from>
      <cdr:x>0.53788</cdr:x>
      <cdr:y>0.45395</cdr:y>
    </cdr:from>
    <cdr:to>
      <cdr:x>0.60915</cdr:x>
      <cdr:y>0.512</cdr:y>
    </cdr:to>
    <cdr:sp macro="" textlink="">
      <cdr:nvSpPr>
        <cdr:cNvPr id="56" name="TextBox 10">
          <a:extLst xmlns:a="http://schemas.openxmlformats.org/drawingml/2006/main">
            <a:ext uri="{FF2B5EF4-FFF2-40B4-BE49-F238E27FC236}">
              <a16:creationId xmlns:a16="http://schemas.microsoft.com/office/drawing/2014/main" id="{BD2557FD-2290-4D93-8755-3007B1325113}"/>
            </a:ext>
          </a:extLst>
        </cdr:cNvPr>
        <cdr:cNvSpPr txBox="1"/>
      </cdr:nvSpPr>
      <cdr:spPr>
        <a:xfrm xmlns:a="http://schemas.openxmlformats.org/drawingml/2006/main">
          <a:off x="4365338" y="2424078"/>
          <a:ext cx="578414" cy="30998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B05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3GAE</a:t>
          </a:r>
        </a:p>
      </cdr:txBody>
    </cdr:sp>
  </cdr:relSizeAnchor>
  <cdr:relSizeAnchor xmlns:cdr="http://schemas.openxmlformats.org/drawingml/2006/chartDrawing">
    <cdr:from>
      <cdr:x>0.71151</cdr:x>
      <cdr:y>0.21072</cdr:y>
    </cdr:from>
    <cdr:to>
      <cdr:x>0.79534</cdr:x>
      <cdr:y>0.26519</cdr:y>
    </cdr:to>
    <cdr:sp macro="" textlink="">
      <cdr:nvSpPr>
        <cdr:cNvPr id="21" name="TextBox 10">
          <a:extLst xmlns:a="http://schemas.openxmlformats.org/drawingml/2006/main">
            <a:ext uri="{FF2B5EF4-FFF2-40B4-BE49-F238E27FC236}">
              <a16:creationId xmlns:a16="http://schemas.microsoft.com/office/drawing/2014/main" id="{ECCCE437-D60B-4A18-88F8-0C92A2517492}"/>
            </a:ext>
          </a:extLst>
        </cdr:cNvPr>
        <cdr:cNvSpPr txBox="1"/>
      </cdr:nvSpPr>
      <cdr:spPr>
        <a:xfrm xmlns:a="http://schemas.openxmlformats.org/drawingml/2006/main">
          <a:off x="5799658" y="1141779"/>
          <a:ext cx="683314" cy="29514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0070C0"/>
              </a:solidFill>
              <a:latin typeface="Intel Clear" panose="020B0604020203020204" pitchFamily="34" charset="0"/>
              <a:ea typeface="Intel Clear" panose="020B0604020203020204" pitchFamily="34" charset="0"/>
              <a:cs typeface="Intel Clear" panose="020B0604020203020204" pitchFamily="34" charset="0"/>
            </a:rPr>
            <a:t>1278.4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374650</xdr:colOff>
      <xdr:row>27</xdr:row>
      <xdr:rowOff>196850</xdr:rowOff>
    </xdr:from>
    <xdr:to>
      <xdr:col>10</xdr:col>
      <xdr:colOff>647700</xdr:colOff>
      <xdr:row>48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3DA0B3-7BDC-7A43-827C-132C9606E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196850</xdr:rowOff>
    </xdr:from>
    <xdr:to>
      <xdr:col>6</xdr:col>
      <xdr:colOff>127000</xdr:colOff>
      <xdr:row>38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F01125E-973B-81D7-E805-9D7018A85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6</xdr:col>
      <xdr:colOff>127000</xdr:colOff>
      <xdr:row>68</xdr:row>
      <xdr:rowOff>184150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C981986-78D3-9346-82A4-24AE8CDD1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10</xdr:row>
      <xdr:rowOff>0</xdr:rowOff>
    </xdr:from>
    <xdr:to>
      <xdr:col>14</xdr:col>
      <xdr:colOff>201083</xdr:colOff>
      <xdr:row>38</xdr:row>
      <xdr:rowOff>162983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5A2ED10-66F2-7441-8530-AF34270B30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14</xdr:col>
      <xdr:colOff>201083</xdr:colOff>
      <xdr:row>68</xdr:row>
      <xdr:rowOff>186074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62B63BB-793C-8447-AD80-B20BCD934B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322384</xdr:colOff>
      <xdr:row>26</xdr:row>
      <xdr:rowOff>64476</xdr:rowOff>
    </xdr:from>
    <xdr:to>
      <xdr:col>5</xdr:col>
      <xdr:colOff>931333</xdr:colOff>
      <xdr:row>57</xdr:row>
      <xdr:rowOff>190500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F8A934E-0E61-4EE7-E77D-27A8A0A7E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42333</xdr:colOff>
      <xdr:row>9</xdr:row>
      <xdr:rowOff>71260</xdr:rowOff>
    </xdr:from>
    <xdr:to>
      <xdr:col>21</xdr:col>
      <xdr:colOff>486833</xdr:colOff>
      <xdr:row>43</xdr:row>
      <xdr:rowOff>31750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2C473C1-8D98-ACFB-E2E0-79BD14313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efftwat/AppData/Local/Microsoft/Windows/INetCache/Content.Outlook/ZU54MYNX/3C%20Roadmap%20Foundry%20Wafer%20Technology%20Capability%20Parameters%2008-27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undry Capability Parameters"/>
      <sheetName val="FTEFOM"/>
      <sheetName val="Change History"/>
    </sheetNames>
    <sheetDataSet>
      <sheetData sheetId="0" refreshError="1"/>
      <sheetData sheetId="1" refreshError="1">
        <row r="17">
          <cell r="Y17">
            <v>1.5149999999999999</v>
          </cell>
        </row>
        <row r="18">
          <cell r="Y18">
            <v>1.228</v>
          </cell>
        </row>
        <row r="19">
          <cell r="Y19">
            <v>0.53900000000000003</v>
          </cell>
        </row>
        <row r="20">
          <cell r="Y20">
            <v>0.66600000000000004</v>
          </cell>
        </row>
      </sheetData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Watt, Jeff" id="{E3E0FE4C-A6C7-BB42-8597-4FFB8428206F}" userId="S::jeff.watt@intel.com::85e22a6d-0afd-410f-afcb-61ab006148cf" providerId="AD"/>
  <person displayName="Lim, Queennie" id="{59C2872D-4F59-9046-84B6-1D76365548CD}" userId="S::queennie.lim@intel.com::11ac2543-2b65-404e-94e3-f27bbae81d41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6" dT="2021-04-20T00:43:57.37" personId="{E3E0FE4C-A6C7-BB42-8597-4FFB8428206F}" id="{F5AB72E6-6DE4-5F44-8BEE-39863C6E92B6}">
    <text>Projected date; not confirmed by TSMC</text>
  </threadedComment>
  <threadedComment ref="K7" dT="2021-09-09T16:58:50.37" personId="{E3E0FE4C-A6C7-BB42-8597-4FFB8428206F}" id="{96FCFE3A-2577-0849-8CDC-9AEC114385FB}">
    <text>Not yet defined yet on DEPortal; assume 1Q after PDK V0.9 which is ~Q3'23</text>
  </threadedComment>
  <threadedComment ref="U8" dT="2021-04-20T00:43:57.37" personId="{E3E0FE4C-A6C7-BB42-8597-4FFB8428206F}" id="{A2167B47-FBE0-3A42-8D22-76C7996C4525}">
    <text>Projected date; not confirmed by TSMC</text>
  </threadedComment>
  <threadedComment ref="U9" dT="2021-04-20T00:44:18.61" personId="{E3E0FE4C-A6C7-BB42-8597-4FFB8428206F}" id="{A472A920-0A91-8547-9D48-ABFB1A4C6800}">
    <text>Projected date; not confirmed by TSMC</text>
  </threadedComment>
  <threadedComment ref="N15" dT="2021-09-08T22:32:05.16" personId="{E3E0FE4C-A6C7-BB42-8597-4FFB8428206F}" id="{D5904576-6FB6-9B48-BBC2-3A158CA96407}">
    <text>From TSMC Symposium 2019</text>
  </threadedComment>
  <threadedComment ref="O15" dT="2021-09-08T22:32:22.62" personId="{E3E0FE4C-A6C7-BB42-8597-4FFB8428206F}" id="{DE6AD04A-EEA4-8446-B313-15D86E6D11DE}">
    <text>Assume N6 perf ~same as N7+</text>
  </threadedComment>
  <threadedComment ref="P15" dT="2021-09-08T22:35:14.05" personId="{E3E0FE4C-A6C7-BB42-8597-4FFB8428206F}" id="{94CD2CEA-1AD3-2F45-8F58-6196CAEE5CFD}">
    <text>+15% perf vs. N7 from TSMC Symposium 2019</text>
  </threadedComment>
  <threadedComment ref="S15" dT="2021-09-08T22:46:50.22" personId="{E3E0FE4C-A6C7-BB42-8597-4FFB8428206F}" id="{979C39FB-1D8F-164D-956F-3C00B2ED2608}">
    <text>+12.5% vs. N5, midpoint of +10-15% range mentioned by TSMC</text>
  </threadedComment>
  <threadedComment ref="T15" dT="2021-12-09T04:56:00.82" personId="{E3E0FE4C-A6C7-BB42-8597-4FFB8428206F}" id="{113C71E5-52EB-234D-B91B-5FCDD812B6AF}">
    <text>FTE estimate of +5% relative to N3B</text>
  </threadedComment>
  <threadedComment ref="U15" dT="2021-12-31T00:29:47.09" personId="{E3E0FE4C-A6C7-BB42-8597-4FFB8428206F}" id="{3B6B9596-BB99-1F4D-9CD2-C8EBBFF18C8E}">
    <text>FTE estimate of +12.5% relative to N3B</text>
  </threadedComment>
  <threadedComment ref="Q24" dT="2021-09-07T23:25:11.29" personId="{E3E0FE4C-A6C7-BB42-8597-4FFB8428206F}" id="{D16FF65B-F4BF-9745-992B-3724462F7060}">
    <text>Drawn dimension before 4% optical shrink</text>
  </threadedComment>
  <threadedComment ref="Q25" dT="2021-09-07T23:25:18.56" personId="{E3E0FE4C-A6C7-BB42-8597-4FFB8428206F}" id="{0B5FB360-500C-A54F-9BE0-F987E849EF27}">
    <text>Drawn dimension before 4% optical shrink</text>
  </threadedComment>
  <threadedComment ref="L26" dT="2021-09-09T16:55:11.88" personId="{E3E0FE4C-A6C7-BB42-8597-4FFB8428206F}" id="{092A81BA-94A2-4449-9DD6-915F6F7D5AA3}">
    <text>Calculated from expected #CPP</text>
  </threadedComment>
  <threadedComment ref="Q26" dT="2021-09-09T00:44:14.71" personId="{E3E0FE4C-A6C7-BB42-8597-4FFB8428206F}" id="{E4FB9F62-39AB-8044-9B50-2C7CE29711D3}">
    <text>After 4% optical shrink</text>
  </threadedComment>
  <threadedComment ref="S26" dT="2021-08-27T21:05:46.01" personId="{59C2872D-4F59-9046-84B6-1D76365548CD}" id="{84748FF4-76F8-8543-980A-E690BDD94CEA}">
    <text>50%:50% 2-fin:1fin</text>
  </threadedComment>
  <threadedComment ref="S26" dT="2021-12-30T23:53:54.65" personId="{E3E0FE4C-A6C7-BB42-8597-4FFB8428206F}" id="{13C8611E-1830-4E40-A9DC-0207B7D9C24C}" parentId="{84748FF4-76F8-8543-980A-E690BDD94CEA}">
    <text>Added 4% linear blow-up</text>
  </threadedComment>
  <threadedComment ref="T26" dT="2021-08-27T21:05:46.01" personId="{59C2872D-4F59-9046-84B6-1D76365548CD}" id="{13FE9879-222A-0D4F-BAAD-96B9D3E16F39}">
    <text>50%:50% 2-fin:1fin</text>
  </threadedComment>
  <threadedComment ref="T26" dT="2021-12-30T23:57:18.48" personId="{E3E0FE4C-A6C7-BB42-8597-4FFB8428206F}" id="{E3394810-19CE-8D4B-B8A0-D0BE366E0A19}" parentId="{13FE9879-222A-0D4F-BAAD-96B9D3E16F39}">
    <text>Updated for PP increase from 45nm to 48nm</text>
  </threadedComment>
  <threadedComment ref="X26" dT="2021-09-10T17:38:11.03" personId="{E3E0FE4C-A6C7-BB42-8597-4FFB8428206F}" id="{CE068A67-9B93-EF45-B489-18C7CED7A75D}">
    <text>Assumed to be same as 4LPP</text>
  </threadedComment>
  <threadedComment ref="AA26" dT="2021-09-10T17:40:44.43" personId="{E3E0FE4C-A6C7-BB42-8597-4FFB8428206F}" id="{92FBEA39-022A-5246-A55F-9078C6B01ED3}">
    <text>Assume same #CPP as 168CH library</text>
  </threadedComment>
  <threadedComment ref="Q34" dT="2021-09-07T23:25:11.29" personId="{E3E0FE4C-A6C7-BB42-8597-4FFB8428206F}" id="{2B4ECADE-4D8B-7C48-90E4-6971FD6EA8C7}">
    <text>Drawn dimension before 4% optical shrink</text>
  </threadedComment>
  <threadedComment ref="Q35" dT="2021-09-07T23:25:18.56" personId="{E3E0FE4C-A6C7-BB42-8597-4FFB8428206F}" id="{233716C5-0E59-6740-B0FB-970848A448BC}">
    <text>Drawn dimension before 4% optical shrink</text>
  </threadedComment>
  <threadedComment ref="Q36" dT="2021-09-09T00:44:14.71" personId="{E3E0FE4C-A6C7-BB42-8597-4FFB8428206F}" id="{26341FD6-0DBE-874E-B3D6-16A4A54B23EA}">
    <text>After 4% optical shrink</text>
  </threadedComment>
  <threadedComment ref="S36" dT="2021-12-30T23:54:40.20" personId="{E3E0FE4C-A6C7-BB42-8597-4FFB8428206F}" id="{1E03A367-595C-0E4A-B2A2-4F60A86AF7A5}">
    <text>Added 4% linear blow-up</text>
  </threadedComment>
  <threadedComment ref="T36" dT="2021-12-30T23:57:27.34" personId="{E3E0FE4C-A6C7-BB42-8597-4FFB8428206F}" id="{7465D50B-D1C4-C64C-932F-AF4E99CBDC6B}">
    <text>Updated for PP increase from 45nm to 48nm</text>
  </threadedComment>
  <threadedComment ref="X36" dT="2021-09-10T17:38:11.03" personId="{E3E0FE4C-A6C7-BB42-8597-4FFB8428206F}" id="{7A336D85-D138-0E4B-BE37-AA6805185D03}">
    <text>Assumed to be same as 4LPP</text>
  </threadedComment>
  <threadedComment ref="Q44" dT="2021-09-07T23:25:30.95" personId="{E3E0FE4C-A6C7-BB42-8597-4FFB8428206F}" id="{3F914B6F-5EEA-0C40-A239-6782AC506FAE}">
    <text>Drawn dimension before 4% optical shrink</text>
  </threadedComment>
  <threadedComment ref="Q45" dT="2021-09-07T23:25:36.42" personId="{E3E0FE4C-A6C7-BB42-8597-4FFB8428206F}" id="{F610AD18-76AB-4049-A55D-6E778A04D400}">
    <text>Drawn dimension before 4% optical shrink</text>
  </threadedComment>
  <threadedComment ref="Q46" dT="2021-09-09T00:44:27.91" personId="{E3E0FE4C-A6C7-BB42-8597-4FFB8428206F}" id="{B11216A5-C9FF-7E46-A79C-3AC4DB4082AE}">
    <text>After 4% optical shrink</text>
  </threadedComment>
  <threadedComment ref="S46" dT="2021-12-30T23:55:05.06" personId="{E3E0FE4C-A6C7-BB42-8597-4FFB8428206F}" id="{537F1F22-7F33-E545-941F-C8AACBCEC954}">
    <text>Added 4% linear blow-up</text>
  </threadedComment>
  <threadedComment ref="T46" dT="2021-12-30T23:58:05.68" personId="{E3E0FE4C-A6C7-BB42-8597-4FFB8428206F}" id="{EEF610A6-10BB-8144-A7A0-BCEF2F0A9926}">
    <text>Updated for PP increase from 51nm to 54nm</text>
  </threadedComment>
  <threadedComment ref="X46" dT="2021-08-10T20:41:44.95" personId="{59C2872D-4F59-9046-84B6-1D76365548CD}" id="{32A9BBC0-524B-2C49-AFE7-1CAECE418FC1}">
    <text>calculate based on libh, #cpp</text>
  </threadedComment>
  <threadedComment ref="Y46" dT="2021-08-10T20:41:44.95" personId="{59C2872D-4F59-9046-84B6-1D76365548CD}" id="{6E52CE89-5BF1-6E48-AACA-03D02B4311F2}">
    <text>calculate based on libh, #cpp</text>
  </threadedComment>
  <threadedComment ref="N49" dT="2021-08-06T06:39:19.13" personId="{59C2872D-4F59-9046-84B6-1D76365548CD}" id="{4C5F775D-362B-194E-8533-52168D2F5143}">
    <text>NR2/ND2 OPTPA D4</text>
  </threadedComment>
  <threadedComment ref="P49" dT="2021-08-06T06:38:44.53" personId="{59C2872D-4F59-9046-84B6-1D76365548CD}" id="{815D7BD4-DF40-8F43-8333-B2725F337DE5}">
    <text>NOMSAKA</text>
  </threadedComment>
  <threadedComment ref="Q54" dT="2021-09-07T23:26:17.24" personId="{E3E0FE4C-A6C7-BB42-8597-4FFB8428206F}" id="{D6141F0D-0CF7-A44B-92F8-39001F90B0C6}">
    <text>Area after 4% optical shrink</text>
  </threadedComment>
  <threadedComment ref="S54" dT="2021-12-09T04:46:49.65" personId="{E3E0FE4C-A6C7-BB42-8597-4FFB8428206F}" id="{577926B4-B879-F64E-9602-337C7471CADC}">
    <text>Including 8% optical enlargement</text>
  </threadedComment>
  <threadedComment ref="T54" dT="2021-12-09T04:46:27.38" personId="{E3E0FE4C-A6C7-BB42-8597-4FFB8428206F}" id="{0C2616F4-19C4-3442-8429-F60599A94995}">
    <text>Including poly pitch increase from 45nm to 48nm</text>
  </threadedComment>
  <threadedComment ref="Q55" dT="2021-09-07T23:26:23.33" personId="{E3E0FE4C-A6C7-BB42-8597-4FFB8428206F}" id="{978542A9-84B8-4240-BBC9-F115D93C42E8}">
    <text>Area after 4% optical shrink</text>
  </threadedComment>
  <threadedComment ref="Q56" dT="2021-09-07T23:26:30.63" personId="{E3E0FE4C-A6C7-BB42-8597-4FFB8428206F}" id="{CD9BDFDF-6EE5-E244-AA63-325AF5CD7FA1}">
    <text>Area after 4% optical shrink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042E2-E69E-A24B-844B-FE7E9F60A884}">
  <dimension ref="B2:AB68"/>
  <sheetViews>
    <sheetView topLeftCell="A9" workbookViewId="0">
      <selection activeCell="M24" sqref="M24"/>
    </sheetView>
  </sheetViews>
  <sheetFormatPr baseColWidth="10" defaultColWidth="9.1640625" defaultRowHeight="16" x14ac:dyDescent="0.2"/>
  <cols>
    <col min="1" max="1" width="3.83203125" style="2" customWidth="1"/>
    <col min="2" max="2" width="20" style="2" customWidth="1"/>
    <col min="3" max="3" width="29.83203125" style="2" customWidth="1"/>
    <col min="4" max="4" width="18.6640625" style="2" customWidth="1"/>
    <col min="5" max="5" width="60.83203125" style="2" customWidth="1"/>
    <col min="6" max="15" width="9.1640625" style="2"/>
    <col min="16" max="16" width="9.1640625" style="175"/>
    <col min="17" max="18" width="9.1640625" style="2"/>
    <col min="19" max="19" width="9.1640625" style="175"/>
    <col min="20" max="20" width="9.5" style="2" bestFit="1" customWidth="1"/>
    <col min="21" max="16384" width="9.1640625" style="2"/>
  </cols>
  <sheetData>
    <row r="2" spans="2:28" ht="15" x14ac:dyDescent="0.2">
      <c r="B2" s="1" t="s">
        <v>0</v>
      </c>
    </row>
    <row r="3" spans="2:28" ht="15.75" thickBot="1" x14ac:dyDescent="0.25"/>
    <row r="4" spans="2:28" ht="15.75" thickBot="1" x14ac:dyDescent="0.25">
      <c r="B4" s="3" t="s">
        <v>1</v>
      </c>
      <c r="C4" s="4" t="s">
        <v>2</v>
      </c>
      <c r="D4" s="4" t="s">
        <v>3</v>
      </c>
      <c r="E4" s="4" t="s">
        <v>4</v>
      </c>
      <c r="F4" s="4">
        <v>1276.31</v>
      </c>
      <c r="G4" s="4">
        <v>1276.4000000000001</v>
      </c>
      <c r="H4" s="4">
        <v>1277.2</v>
      </c>
      <c r="I4" s="4">
        <v>1278.2</v>
      </c>
      <c r="J4" s="4">
        <v>1278.3</v>
      </c>
      <c r="K4" s="4">
        <v>1278.4000000000001</v>
      </c>
      <c r="L4" s="4">
        <v>1278.5999999999999</v>
      </c>
      <c r="M4" s="4" t="s">
        <v>5</v>
      </c>
      <c r="N4" s="4" t="s">
        <v>6</v>
      </c>
      <c r="O4" s="4" t="s">
        <v>7</v>
      </c>
      <c r="P4" s="177" t="s">
        <v>8</v>
      </c>
      <c r="Q4" s="4" t="s">
        <v>9</v>
      </c>
      <c r="R4" s="4" t="s">
        <v>10</v>
      </c>
      <c r="S4" s="177" t="s">
        <v>11</v>
      </c>
      <c r="T4" s="4" t="s">
        <v>12</v>
      </c>
      <c r="U4" s="4" t="s">
        <v>13</v>
      </c>
      <c r="V4" s="4" t="s">
        <v>14</v>
      </c>
      <c r="W4" s="4" t="s">
        <v>15</v>
      </c>
      <c r="X4" s="4" t="s">
        <v>16</v>
      </c>
      <c r="Y4" s="4" t="s">
        <v>17</v>
      </c>
      <c r="Z4" s="4" t="s">
        <v>18</v>
      </c>
      <c r="AA4" s="4" t="s">
        <v>19</v>
      </c>
      <c r="AB4" s="4" t="s">
        <v>20</v>
      </c>
    </row>
    <row r="5" spans="2:28" ht="18" thickTop="1" x14ac:dyDescent="0.2">
      <c r="B5" s="200" t="s">
        <v>21</v>
      </c>
      <c r="C5" s="5" t="s">
        <v>22</v>
      </c>
      <c r="D5" s="5" t="s">
        <v>23</v>
      </c>
      <c r="E5" s="5" t="s">
        <v>24</v>
      </c>
      <c r="F5" s="6"/>
      <c r="G5" s="6"/>
      <c r="H5" s="6"/>
      <c r="I5" s="6"/>
      <c r="J5" s="6"/>
      <c r="K5" s="6"/>
      <c r="L5" s="6"/>
      <c r="M5" s="7">
        <v>1</v>
      </c>
      <c r="N5" s="5"/>
      <c r="O5" s="5"/>
      <c r="P5" s="178">
        <v>1</v>
      </c>
      <c r="Q5" s="5"/>
      <c r="R5" s="5"/>
      <c r="S5" s="179"/>
      <c r="T5" s="6"/>
      <c r="U5" s="5"/>
      <c r="V5" s="6"/>
      <c r="W5" s="6"/>
      <c r="X5" s="6"/>
      <c r="Y5" s="5"/>
      <c r="Z5" s="5"/>
      <c r="AA5" s="5"/>
      <c r="AB5" s="5"/>
    </row>
    <row r="6" spans="2:28" ht="17" x14ac:dyDescent="0.2">
      <c r="B6" s="195"/>
      <c r="C6" s="8" t="s">
        <v>25</v>
      </c>
      <c r="D6" s="8" t="s">
        <v>26</v>
      </c>
      <c r="E6" s="8" t="s">
        <v>27</v>
      </c>
      <c r="F6" s="8"/>
      <c r="G6" s="8"/>
      <c r="H6" s="8"/>
      <c r="I6" s="8"/>
      <c r="J6" s="8"/>
      <c r="K6" s="8"/>
      <c r="L6" s="8"/>
      <c r="M6" s="8" t="s">
        <v>28</v>
      </c>
      <c r="N6" s="8"/>
      <c r="O6" s="8"/>
      <c r="P6" s="174" t="s">
        <v>29</v>
      </c>
      <c r="Q6" s="8"/>
      <c r="R6" s="8"/>
      <c r="S6" s="174"/>
      <c r="T6" s="8"/>
      <c r="U6" s="8"/>
      <c r="V6" s="8"/>
      <c r="W6" s="8"/>
      <c r="X6" s="8"/>
      <c r="Y6" s="8"/>
      <c r="Z6" s="8"/>
      <c r="AA6" s="8"/>
      <c r="AB6" s="8"/>
    </row>
    <row r="7" spans="2:28" ht="17" x14ac:dyDescent="0.2">
      <c r="B7" s="195"/>
      <c r="C7" s="9" t="s">
        <v>30</v>
      </c>
      <c r="D7" s="9" t="s">
        <v>23</v>
      </c>
      <c r="E7" s="9" t="s">
        <v>31</v>
      </c>
      <c r="F7" s="10" t="s">
        <v>32</v>
      </c>
      <c r="G7" s="10" t="s">
        <v>32</v>
      </c>
      <c r="H7" s="10" t="s">
        <v>32</v>
      </c>
      <c r="I7" s="10" t="s">
        <v>32</v>
      </c>
      <c r="J7" s="10">
        <v>1.1000000000000001</v>
      </c>
      <c r="K7" s="11">
        <v>1</v>
      </c>
      <c r="L7" s="10" t="s">
        <v>32</v>
      </c>
      <c r="M7" s="10">
        <v>1.2</v>
      </c>
      <c r="N7" s="9" t="s">
        <v>32</v>
      </c>
      <c r="O7" s="9" t="s">
        <v>32</v>
      </c>
      <c r="P7" s="179" t="s">
        <v>33</v>
      </c>
      <c r="Q7" s="9" t="s">
        <v>32</v>
      </c>
      <c r="R7" s="9" t="s">
        <v>32</v>
      </c>
      <c r="S7" s="179" t="s">
        <v>32</v>
      </c>
      <c r="T7" s="9" t="s">
        <v>32</v>
      </c>
      <c r="U7" s="9" t="s">
        <v>32</v>
      </c>
      <c r="V7" s="10" t="s">
        <v>34</v>
      </c>
      <c r="W7" s="10"/>
      <c r="X7" s="10">
        <v>1.1100000000000001</v>
      </c>
      <c r="Y7" s="9">
        <v>1.03</v>
      </c>
      <c r="Z7" s="12">
        <v>1</v>
      </c>
      <c r="AA7" s="9" t="s">
        <v>32</v>
      </c>
      <c r="AB7" s="12">
        <v>1</v>
      </c>
    </row>
    <row r="8" spans="2:28" ht="17" x14ac:dyDescent="0.2">
      <c r="B8" s="196"/>
      <c r="C8" s="13" t="s">
        <v>35</v>
      </c>
      <c r="D8" s="13" t="s">
        <v>26</v>
      </c>
      <c r="E8" s="13" t="s">
        <v>27</v>
      </c>
      <c r="F8" s="13" t="s">
        <v>36</v>
      </c>
      <c r="G8" s="13" t="s">
        <v>37</v>
      </c>
      <c r="H8" s="13" t="s">
        <v>37</v>
      </c>
      <c r="I8" s="13" t="s">
        <v>38</v>
      </c>
      <c r="J8" s="13" t="s">
        <v>39</v>
      </c>
      <c r="K8" s="13" t="s">
        <v>39</v>
      </c>
      <c r="L8" s="13" t="s">
        <v>40</v>
      </c>
      <c r="M8" s="13" t="s">
        <v>41</v>
      </c>
      <c r="N8" s="13" t="s">
        <v>42</v>
      </c>
      <c r="O8" s="13" t="s">
        <v>43</v>
      </c>
      <c r="P8" s="174" t="s">
        <v>44</v>
      </c>
      <c r="Q8" s="13" t="s">
        <v>45</v>
      </c>
      <c r="R8" s="13" t="s">
        <v>36</v>
      </c>
      <c r="S8" s="174" t="s">
        <v>46</v>
      </c>
      <c r="T8" s="13" t="s">
        <v>37</v>
      </c>
      <c r="U8" s="13" t="s">
        <v>47</v>
      </c>
      <c r="V8" s="13" t="s">
        <v>29</v>
      </c>
      <c r="W8" s="10"/>
      <c r="X8" s="13" t="s">
        <v>43</v>
      </c>
      <c r="Y8" s="13" t="s">
        <v>46</v>
      </c>
      <c r="Z8" s="13" t="s">
        <v>46</v>
      </c>
      <c r="AA8" s="13" t="s">
        <v>48</v>
      </c>
      <c r="AB8" s="13" t="s">
        <v>40</v>
      </c>
    </row>
    <row r="9" spans="2:28" ht="44.25" customHeight="1" thickBot="1" x14ac:dyDescent="0.25">
      <c r="B9" s="14" t="s">
        <v>49</v>
      </c>
      <c r="C9" s="15" t="s">
        <v>50</v>
      </c>
      <c r="D9" s="15" t="s">
        <v>26</v>
      </c>
      <c r="E9" s="15" t="s">
        <v>51</v>
      </c>
      <c r="F9" s="15" t="s">
        <v>37</v>
      </c>
      <c r="G9" s="15" t="s">
        <v>39</v>
      </c>
      <c r="H9" s="16" t="s">
        <v>39</v>
      </c>
      <c r="I9" s="16" t="s">
        <v>52</v>
      </c>
      <c r="J9" s="16" t="s">
        <v>47</v>
      </c>
      <c r="K9" s="16" t="s">
        <v>40</v>
      </c>
      <c r="L9" s="16" t="s">
        <v>53</v>
      </c>
      <c r="M9" s="16" t="s">
        <v>54</v>
      </c>
      <c r="N9" s="15" t="s">
        <v>29</v>
      </c>
      <c r="O9" s="15" t="s">
        <v>55</v>
      </c>
      <c r="P9" s="180" t="s">
        <v>44</v>
      </c>
      <c r="Q9" s="15" t="s">
        <v>56</v>
      </c>
      <c r="R9" s="15" t="s">
        <v>37</v>
      </c>
      <c r="S9" s="180" t="s">
        <v>37</v>
      </c>
      <c r="T9" s="15" t="s">
        <v>39</v>
      </c>
      <c r="U9" s="15" t="s">
        <v>53</v>
      </c>
      <c r="V9" s="15" t="s">
        <v>41</v>
      </c>
      <c r="W9" s="16" t="s">
        <v>46</v>
      </c>
      <c r="X9" s="15" t="s">
        <v>56</v>
      </c>
      <c r="Y9" s="15" t="s">
        <v>37</v>
      </c>
      <c r="Z9" s="15" t="s">
        <v>48</v>
      </c>
      <c r="AA9" s="15" t="s">
        <v>57</v>
      </c>
      <c r="AB9" s="15" t="s">
        <v>58</v>
      </c>
    </row>
    <row r="11" spans="2:28" ht="15" x14ac:dyDescent="0.2">
      <c r="B11" s="1" t="s">
        <v>59</v>
      </c>
    </row>
    <row r="12" spans="2:28" ht="15.75" thickBot="1" x14ac:dyDescent="0.25"/>
    <row r="13" spans="2:28" ht="15.75" thickBot="1" x14ac:dyDescent="0.25">
      <c r="B13" s="3" t="s">
        <v>1</v>
      </c>
      <c r="C13" s="4" t="s">
        <v>2</v>
      </c>
      <c r="D13" s="4" t="s">
        <v>3</v>
      </c>
      <c r="E13" s="4" t="s">
        <v>4</v>
      </c>
      <c r="F13" s="4">
        <v>1276.31</v>
      </c>
      <c r="G13" s="4">
        <v>1276.4000000000001</v>
      </c>
      <c r="H13" s="4">
        <v>1277.2</v>
      </c>
      <c r="I13" s="4">
        <v>1278.2</v>
      </c>
      <c r="J13" s="4">
        <v>1278.3</v>
      </c>
      <c r="K13" s="4">
        <v>1278.4000000000001</v>
      </c>
      <c r="L13" s="4">
        <v>1278.5999999999999</v>
      </c>
      <c r="M13" s="4" t="s">
        <v>5</v>
      </c>
      <c r="N13" s="4" t="s">
        <v>6</v>
      </c>
      <c r="O13" s="4" t="s">
        <v>7</v>
      </c>
      <c r="P13" s="177" t="s">
        <v>8</v>
      </c>
      <c r="Q13" s="4" t="s">
        <v>9</v>
      </c>
      <c r="R13" s="4" t="s">
        <v>10</v>
      </c>
      <c r="S13" s="177" t="s">
        <v>11</v>
      </c>
      <c r="T13" s="4" t="s">
        <v>12</v>
      </c>
      <c r="U13" s="4" t="s">
        <v>13</v>
      </c>
      <c r="V13" s="4" t="s">
        <v>14</v>
      </c>
      <c r="W13" s="4" t="s">
        <v>15</v>
      </c>
      <c r="X13" s="4" t="s">
        <v>16</v>
      </c>
      <c r="Y13" s="4" t="s">
        <v>17</v>
      </c>
      <c r="Z13" s="4" t="s">
        <v>18</v>
      </c>
      <c r="AA13" s="4" t="s">
        <v>19</v>
      </c>
      <c r="AB13" s="4" t="s">
        <v>20</v>
      </c>
    </row>
    <row r="14" spans="2:28" ht="18" thickTop="1" x14ac:dyDescent="0.2">
      <c r="B14" s="200" t="s">
        <v>60</v>
      </c>
      <c r="C14" s="17" t="s">
        <v>61</v>
      </c>
      <c r="D14" s="17" t="s">
        <v>62</v>
      </c>
      <c r="E14" s="17" t="s">
        <v>63</v>
      </c>
      <c r="F14" s="18">
        <v>1</v>
      </c>
      <c r="G14" s="19">
        <v>1.1539999999999999</v>
      </c>
      <c r="H14" s="19">
        <v>1.21</v>
      </c>
      <c r="I14" s="19">
        <v>1.3</v>
      </c>
      <c r="J14" s="19">
        <f>I14+5%</f>
        <v>1.35</v>
      </c>
      <c r="K14" s="19">
        <f>J14+5%</f>
        <v>1.4000000000000001</v>
      </c>
      <c r="L14" s="19">
        <f>K14+3%</f>
        <v>1.4300000000000002</v>
      </c>
      <c r="M14" s="17"/>
      <c r="N14" s="17"/>
      <c r="O14" s="17"/>
      <c r="P14" s="181"/>
      <c r="Q14" s="17"/>
      <c r="R14" s="17"/>
      <c r="S14" s="181"/>
      <c r="T14" s="17"/>
      <c r="U14" s="17"/>
      <c r="V14" s="17"/>
      <c r="W14" s="17"/>
      <c r="X14" s="17"/>
      <c r="Y14" s="17"/>
      <c r="Z14" s="17"/>
      <c r="AA14" s="17"/>
      <c r="AB14" s="17"/>
    </row>
    <row r="15" spans="2:28" ht="17" x14ac:dyDescent="0.2">
      <c r="B15" s="195"/>
      <c r="C15" s="8" t="s">
        <v>64</v>
      </c>
      <c r="D15" s="8" t="s">
        <v>62</v>
      </c>
      <c r="E15" s="8" t="s">
        <v>65</v>
      </c>
      <c r="F15" s="8"/>
      <c r="G15" s="8"/>
      <c r="H15" s="8"/>
      <c r="I15" s="8"/>
      <c r="J15" s="8"/>
      <c r="K15" s="8"/>
      <c r="L15" s="8"/>
      <c r="M15" s="20">
        <v>1</v>
      </c>
      <c r="N15" s="20">
        <f>M15*1.03</f>
        <v>1.03</v>
      </c>
      <c r="O15" s="20">
        <f>N15</f>
        <v>1.03</v>
      </c>
      <c r="P15" s="174">
        <f>M15*1.15</f>
        <v>1.1499999999999999</v>
      </c>
      <c r="Q15" s="20">
        <f>P15</f>
        <v>1.1499999999999999</v>
      </c>
      <c r="R15" s="20">
        <f>Q15*1.06</f>
        <v>1.2189999999999999</v>
      </c>
      <c r="S15" s="183">
        <f>P15*1.125</f>
        <v>1.29375</v>
      </c>
      <c r="T15" s="20">
        <f>S15*1.05</f>
        <v>1.3584375</v>
      </c>
      <c r="U15" s="20">
        <f>S15*1.125</f>
        <v>1.4554687499999999</v>
      </c>
      <c r="V15" s="8"/>
      <c r="W15" s="8"/>
      <c r="X15" s="8"/>
      <c r="Y15" s="8"/>
      <c r="Z15" s="8"/>
      <c r="AA15" s="8"/>
      <c r="AB15" s="8"/>
    </row>
    <row r="16" spans="2:28" ht="17" x14ac:dyDescent="0.2">
      <c r="B16" s="195"/>
      <c r="C16" s="21" t="s">
        <v>66</v>
      </c>
      <c r="D16" s="21" t="s">
        <v>62</v>
      </c>
      <c r="E16" s="21" t="s">
        <v>67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182"/>
      <c r="Q16" s="21"/>
      <c r="R16" s="21"/>
      <c r="S16" s="182"/>
      <c r="T16" s="21"/>
      <c r="U16" s="21"/>
      <c r="V16" s="22">
        <v>1</v>
      </c>
      <c r="W16" s="22">
        <v>1.02</v>
      </c>
      <c r="X16" s="22">
        <v>1.1100000000000001</v>
      </c>
      <c r="Y16" s="22">
        <v>1.1599999999999999</v>
      </c>
      <c r="Z16" s="22">
        <v>1.25</v>
      </c>
      <c r="AA16" s="22">
        <v>1.33</v>
      </c>
      <c r="AB16" s="22"/>
    </row>
    <row r="17" spans="2:28" ht="17" x14ac:dyDescent="0.2">
      <c r="B17" s="195"/>
      <c r="C17" s="8" t="s">
        <v>68</v>
      </c>
      <c r="D17" s="8" t="s">
        <v>62</v>
      </c>
      <c r="E17" s="8" t="s">
        <v>69</v>
      </c>
      <c r="F17" s="20">
        <v>1</v>
      </c>
      <c r="G17" s="20"/>
      <c r="H17" s="20"/>
      <c r="I17" s="20"/>
      <c r="J17" s="20"/>
      <c r="K17" s="20"/>
      <c r="L17" s="20"/>
      <c r="M17" s="20"/>
      <c r="N17" s="20"/>
      <c r="O17" s="20"/>
      <c r="P17" s="183">
        <v>1.1000000000000001</v>
      </c>
      <c r="Q17" s="20"/>
      <c r="R17" s="20"/>
      <c r="S17" s="183"/>
      <c r="T17" s="20"/>
      <c r="U17" s="20"/>
      <c r="V17" s="20"/>
      <c r="W17" s="20"/>
      <c r="X17" s="20"/>
      <c r="Y17" s="20"/>
      <c r="Z17" s="20"/>
      <c r="AA17" s="20"/>
      <c r="AB17" s="20"/>
    </row>
    <row r="18" spans="2:28" ht="17" x14ac:dyDescent="0.2">
      <c r="B18" s="195"/>
      <c r="C18" s="21" t="s">
        <v>70</v>
      </c>
      <c r="D18" s="21" t="s">
        <v>62</v>
      </c>
      <c r="E18" s="8" t="s">
        <v>71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184">
        <v>1</v>
      </c>
      <c r="Q18" s="22"/>
      <c r="R18" s="22"/>
      <c r="S18" s="184"/>
      <c r="T18" s="22"/>
      <c r="U18" s="22"/>
      <c r="V18" s="22"/>
      <c r="W18" s="22"/>
      <c r="X18" s="22"/>
      <c r="Y18" s="22">
        <v>1.01</v>
      </c>
      <c r="Z18" s="22"/>
      <c r="AA18" s="22"/>
      <c r="AB18" s="22"/>
    </row>
    <row r="19" spans="2:28" ht="17" x14ac:dyDescent="0.2">
      <c r="B19" s="195"/>
      <c r="C19" s="23" t="s">
        <v>72</v>
      </c>
      <c r="D19" s="23" t="s">
        <v>62</v>
      </c>
      <c r="E19" s="13" t="s">
        <v>73</v>
      </c>
      <c r="F19" s="24">
        <f>F14/$F14</f>
        <v>1</v>
      </c>
      <c r="G19" s="24">
        <f t="shared" ref="G19:L19" si="0">G14/$F14</f>
        <v>1.1539999999999999</v>
      </c>
      <c r="H19" s="24">
        <f t="shared" si="0"/>
        <v>1.21</v>
      </c>
      <c r="I19" s="24">
        <f t="shared" si="0"/>
        <v>1.3</v>
      </c>
      <c r="J19" s="24">
        <f t="shared" si="0"/>
        <v>1.35</v>
      </c>
      <c r="K19" s="24">
        <f t="shared" si="0"/>
        <v>1.4000000000000001</v>
      </c>
      <c r="L19" s="24">
        <f t="shared" si="0"/>
        <v>1.4300000000000002</v>
      </c>
      <c r="M19" s="24">
        <f>M15/$P15*$P19</f>
        <v>0.95652173913043492</v>
      </c>
      <c r="N19" s="24">
        <f>N15/$P15*$P19</f>
        <v>0.98521739130434793</v>
      </c>
      <c r="O19" s="24">
        <f>O15/$P15*$P19</f>
        <v>0.98521739130434793</v>
      </c>
      <c r="P19" s="184">
        <f>P17/F17*F14</f>
        <v>1.1000000000000001</v>
      </c>
      <c r="Q19" s="24">
        <f t="shared" ref="Q19:U19" si="1">Q15/$P15*$P19</f>
        <v>1.1000000000000001</v>
      </c>
      <c r="R19" s="24">
        <f t="shared" si="1"/>
        <v>1.1660000000000001</v>
      </c>
      <c r="S19" s="184">
        <f t="shared" si="1"/>
        <v>1.2375</v>
      </c>
      <c r="T19" s="24">
        <f t="shared" si="1"/>
        <v>1.2993750000000002</v>
      </c>
      <c r="U19" s="24">
        <f t="shared" si="1"/>
        <v>1.3921875000000001</v>
      </c>
      <c r="V19" s="24">
        <f>V16/$Y16*$Y19</f>
        <v>0.95775862068965545</v>
      </c>
      <c r="W19" s="24">
        <f t="shared" ref="W19:X19" si="2">W16/$Y16*$Y19</f>
        <v>0.97691379310344861</v>
      </c>
      <c r="X19" s="24">
        <f t="shared" si="2"/>
        <v>1.0631120689655176</v>
      </c>
      <c r="Y19" s="24">
        <f>Y18/P18*P19</f>
        <v>1.1110000000000002</v>
      </c>
      <c r="Z19" s="24">
        <f t="shared" ref="Z19:AA19" si="3">Z16/$Y16*$Y19</f>
        <v>1.1971982758620694</v>
      </c>
      <c r="AA19" s="24">
        <f t="shared" si="3"/>
        <v>1.2738189655172418</v>
      </c>
      <c r="AB19" s="24"/>
    </row>
    <row r="20" spans="2:28" ht="32" x14ac:dyDescent="0.2">
      <c r="B20" s="201" t="s">
        <v>74</v>
      </c>
      <c r="C20" s="25" t="s">
        <v>75</v>
      </c>
      <c r="D20" s="25" t="s">
        <v>76</v>
      </c>
      <c r="E20" s="25" t="s">
        <v>77</v>
      </c>
      <c r="F20" s="25" t="s">
        <v>78</v>
      </c>
      <c r="G20" s="25" t="s">
        <v>78</v>
      </c>
      <c r="H20" s="25" t="s">
        <v>78</v>
      </c>
      <c r="I20" s="25" t="s">
        <v>78</v>
      </c>
      <c r="J20" s="25" t="s">
        <v>78</v>
      </c>
      <c r="K20" s="25"/>
      <c r="L20" s="25"/>
      <c r="M20" s="25" t="s">
        <v>78</v>
      </c>
      <c r="N20" s="25" t="s">
        <v>78</v>
      </c>
      <c r="O20" s="25" t="s">
        <v>78</v>
      </c>
      <c r="P20" s="185" t="s">
        <v>78</v>
      </c>
      <c r="Q20" s="25"/>
      <c r="R20" s="25"/>
      <c r="S20" s="185" t="s">
        <v>78</v>
      </c>
      <c r="T20" s="25"/>
      <c r="U20" s="25"/>
      <c r="V20" s="25" t="s">
        <v>78</v>
      </c>
      <c r="W20" s="25"/>
      <c r="X20" s="25"/>
      <c r="Y20" s="25" t="s">
        <v>78</v>
      </c>
      <c r="Z20" s="25" t="s">
        <v>79</v>
      </c>
      <c r="AA20" s="25" t="s">
        <v>79</v>
      </c>
      <c r="AB20" s="25"/>
    </row>
    <row r="21" spans="2:28" ht="48" x14ac:dyDescent="0.2">
      <c r="B21" s="201"/>
      <c r="C21" s="25" t="s">
        <v>80</v>
      </c>
      <c r="D21" s="25" t="s">
        <v>81</v>
      </c>
      <c r="E21" s="25" t="s">
        <v>82</v>
      </c>
      <c r="F21" s="25" t="s">
        <v>83</v>
      </c>
      <c r="G21" s="25" t="s">
        <v>84</v>
      </c>
      <c r="H21" s="25" t="s">
        <v>85</v>
      </c>
      <c r="I21" s="25" t="s">
        <v>86</v>
      </c>
      <c r="J21" s="25" t="s">
        <v>87</v>
      </c>
      <c r="K21" s="25"/>
      <c r="L21" s="25"/>
      <c r="M21" s="25"/>
      <c r="N21" s="25"/>
      <c r="O21" s="25" t="s">
        <v>88</v>
      </c>
      <c r="P21" s="185" t="s">
        <v>89</v>
      </c>
      <c r="Q21" s="25"/>
      <c r="R21" s="25"/>
      <c r="S21" s="185" t="s">
        <v>90</v>
      </c>
      <c r="T21" s="25"/>
      <c r="U21" s="25"/>
      <c r="V21" s="25" t="s">
        <v>91</v>
      </c>
      <c r="W21" s="25"/>
      <c r="X21" s="25"/>
      <c r="Y21" s="25"/>
      <c r="Z21" s="25"/>
      <c r="AA21" s="25"/>
      <c r="AB21" s="25"/>
    </row>
    <row r="22" spans="2:28" ht="48" x14ac:dyDescent="0.2">
      <c r="B22" s="201"/>
      <c r="C22" s="25" t="s">
        <v>92</v>
      </c>
      <c r="D22" s="25" t="s">
        <v>81</v>
      </c>
      <c r="E22" s="25" t="s">
        <v>93</v>
      </c>
      <c r="F22" s="25" t="s">
        <v>83</v>
      </c>
      <c r="G22" s="25" t="s">
        <v>84</v>
      </c>
      <c r="H22" s="25" t="s">
        <v>85</v>
      </c>
      <c r="I22" s="25" t="s">
        <v>86</v>
      </c>
      <c r="J22" s="25" t="s">
        <v>87</v>
      </c>
      <c r="K22" s="25"/>
      <c r="L22" s="25"/>
      <c r="M22" s="25" t="s">
        <v>94</v>
      </c>
      <c r="N22" s="25" t="s">
        <v>95</v>
      </c>
      <c r="O22" s="25" t="s">
        <v>96</v>
      </c>
      <c r="P22" s="185" t="s">
        <v>97</v>
      </c>
      <c r="Q22" s="25"/>
      <c r="R22" s="25"/>
      <c r="S22" s="185" t="s">
        <v>96</v>
      </c>
      <c r="T22" s="25"/>
      <c r="U22" s="25"/>
      <c r="V22" s="25"/>
      <c r="W22" s="25"/>
      <c r="X22" s="25"/>
      <c r="Y22" s="25"/>
      <c r="Z22" s="25"/>
      <c r="AA22" s="25"/>
      <c r="AB22" s="25"/>
    </row>
    <row r="23" spans="2:28" ht="32" x14ac:dyDescent="0.2">
      <c r="B23" s="201"/>
      <c r="C23" s="25" t="s">
        <v>98</v>
      </c>
      <c r="D23" s="25" t="s">
        <v>81</v>
      </c>
      <c r="E23" s="25" t="s">
        <v>99</v>
      </c>
      <c r="F23" s="25" t="s">
        <v>100</v>
      </c>
      <c r="G23" s="25" t="s">
        <v>101</v>
      </c>
      <c r="H23" s="25" t="s">
        <v>102</v>
      </c>
      <c r="I23" s="25" t="s">
        <v>103</v>
      </c>
      <c r="J23" s="25" t="s">
        <v>104</v>
      </c>
      <c r="K23" s="25"/>
      <c r="L23" s="25"/>
      <c r="M23" s="25" t="s">
        <v>105</v>
      </c>
      <c r="N23" s="25" t="s">
        <v>106</v>
      </c>
      <c r="O23" s="25" t="s">
        <v>107</v>
      </c>
      <c r="P23" s="185">
        <v>1.1000000000000001</v>
      </c>
      <c r="Q23" s="25"/>
      <c r="R23" s="25"/>
      <c r="S23" s="191">
        <v>1</v>
      </c>
      <c r="T23" s="25"/>
      <c r="U23" s="25"/>
      <c r="V23" s="25" t="s">
        <v>108</v>
      </c>
      <c r="W23" s="25"/>
      <c r="X23" s="25"/>
      <c r="Y23" s="25" t="s">
        <v>109</v>
      </c>
      <c r="Z23" s="26" t="s">
        <v>110</v>
      </c>
      <c r="AA23" s="26" t="s">
        <v>111</v>
      </c>
      <c r="AB23" s="25"/>
    </row>
    <row r="24" spans="2:28" s="175" customFormat="1" ht="17" x14ac:dyDescent="0.2">
      <c r="B24" s="202" t="s">
        <v>112</v>
      </c>
      <c r="C24" s="172" t="s">
        <v>113</v>
      </c>
      <c r="D24" s="172" t="s">
        <v>114</v>
      </c>
      <c r="E24" s="172" t="s">
        <v>115</v>
      </c>
      <c r="F24" s="172">
        <v>240</v>
      </c>
      <c r="G24" s="172">
        <v>210</v>
      </c>
      <c r="H24" s="172">
        <v>210</v>
      </c>
      <c r="I24" s="172">
        <v>180</v>
      </c>
      <c r="J24" s="172">
        <v>160</v>
      </c>
      <c r="K24" s="172">
        <v>160</v>
      </c>
      <c r="L24" s="172">
        <v>144</v>
      </c>
      <c r="M24" s="172">
        <v>240</v>
      </c>
      <c r="N24" s="172">
        <v>240</v>
      </c>
      <c r="O24" s="172">
        <v>240</v>
      </c>
      <c r="P24" s="172">
        <v>210</v>
      </c>
      <c r="Q24" s="172">
        <v>210</v>
      </c>
      <c r="R24" s="172">
        <v>210</v>
      </c>
      <c r="S24" s="172">
        <v>143</v>
      </c>
      <c r="T24" s="172">
        <v>143</v>
      </c>
      <c r="U24" s="172"/>
      <c r="V24" s="173">
        <v>216</v>
      </c>
      <c r="W24" s="173">
        <v>216</v>
      </c>
      <c r="X24" s="172">
        <v>200</v>
      </c>
      <c r="Y24" s="172">
        <v>200</v>
      </c>
      <c r="Z24" s="174">
        <v>200</v>
      </c>
      <c r="AA24" s="174">
        <v>148</v>
      </c>
      <c r="AB24" s="172"/>
    </row>
    <row r="25" spans="2:28" s="175" customFormat="1" ht="17" x14ac:dyDescent="0.2">
      <c r="B25" s="198"/>
      <c r="C25" s="174" t="s">
        <v>116</v>
      </c>
      <c r="D25" s="174" t="s">
        <v>114</v>
      </c>
      <c r="E25" s="174" t="s">
        <v>117</v>
      </c>
      <c r="F25" s="174">
        <v>50</v>
      </c>
      <c r="G25" s="174">
        <v>50</v>
      </c>
      <c r="H25" s="174">
        <v>50</v>
      </c>
      <c r="I25" s="174">
        <v>50</v>
      </c>
      <c r="J25" s="174">
        <v>50</v>
      </c>
      <c r="K25" s="174">
        <v>50</v>
      </c>
      <c r="L25" s="174">
        <v>48</v>
      </c>
      <c r="M25" s="174">
        <v>57</v>
      </c>
      <c r="N25" s="174">
        <v>57</v>
      </c>
      <c r="O25" s="174">
        <v>57</v>
      </c>
      <c r="P25" s="174">
        <v>51</v>
      </c>
      <c r="Q25" s="174">
        <v>51</v>
      </c>
      <c r="R25" s="174">
        <v>51</v>
      </c>
      <c r="S25" s="174">
        <v>45</v>
      </c>
      <c r="T25" s="174">
        <v>48</v>
      </c>
      <c r="U25" s="174"/>
      <c r="V25" s="176">
        <v>54</v>
      </c>
      <c r="W25" s="176">
        <v>54</v>
      </c>
      <c r="X25" s="174">
        <v>54</v>
      </c>
      <c r="Y25" s="174">
        <v>54</v>
      </c>
      <c r="Z25" s="174">
        <v>54</v>
      </c>
      <c r="AA25" s="174">
        <v>48</v>
      </c>
      <c r="AB25" s="174"/>
    </row>
    <row r="26" spans="2:28" x14ac:dyDescent="0.2">
      <c r="B26" s="198"/>
      <c r="C26" s="26" t="s">
        <v>118</v>
      </c>
      <c r="D26" s="26" t="s">
        <v>119</v>
      </c>
      <c r="E26" s="26" t="s">
        <v>120</v>
      </c>
      <c r="F26" s="29">
        <v>120.63492063492065</v>
      </c>
      <c r="G26" s="29">
        <v>130.15873015873018</v>
      </c>
      <c r="H26" s="29">
        <v>130.15873015873001</v>
      </c>
      <c r="I26" s="30">
        <v>164.44444444444446</v>
      </c>
      <c r="J26" s="29">
        <v>185</v>
      </c>
      <c r="K26" s="29">
        <v>185</v>
      </c>
      <c r="L26" s="29">
        <v>214.12037037037038</v>
      </c>
      <c r="M26" s="29">
        <v>79.847053531264066</v>
      </c>
      <c r="N26" s="29">
        <v>97.465886939571149</v>
      </c>
      <c r="O26" s="29">
        <v>101.01010101010101</v>
      </c>
      <c r="P26" s="186">
        <v>137.59889920880636</v>
      </c>
      <c r="Q26" s="29">
        <f>P26/0.98/0.98</f>
        <v>143.27248980508784</v>
      </c>
      <c r="R26" s="29">
        <v>143.27248980508784</v>
      </c>
      <c r="S26" s="186">
        <f>220.4/1.04/1.04</f>
        <v>203.77218934911244</v>
      </c>
      <c r="T26" s="29">
        <f>220.4*45/48</f>
        <v>206.625</v>
      </c>
      <c r="U26" s="29"/>
      <c r="V26" s="29">
        <v>117.57789535567332</v>
      </c>
      <c r="W26" s="29">
        <v>117.57789535567332</v>
      </c>
      <c r="X26" s="29">
        <v>136.45224171539962</v>
      </c>
      <c r="Y26" s="29">
        <v>136.45224171539962</v>
      </c>
      <c r="Z26" s="29">
        <v>136.45224171539962</v>
      </c>
      <c r="AA26" s="29">
        <v>202.70270270270268</v>
      </c>
      <c r="AB26" s="29"/>
    </row>
    <row r="27" spans="2:28" x14ac:dyDescent="0.2">
      <c r="B27" s="198"/>
      <c r="C27" s="26" t="s">
        <v>121</v>
      </c>
      <c r="D27" s="26" t="s">
        <v>62</v>
      </c>
      <c r="E27" s="26" t="s">
        <v>122</v>
      </c>
      <c r="F27" s="31">
        <v>1</v>
      </c>
      <c r="G27" s="31">
        <v>1</v>
      </c>
      <c r="H27" s="31">
        <v>1.07</v>
      </c>
      <c r="I27" s="31">
        <v>1.07</v>
      </c>
      <c r="J27" s="31">
        <v>1.07</v>
      </c>
      <c r="K27" s="31">
        <v>1.07</v>
      </c>
      <c r="L27" s="31">
        <v>1.07</v>
      </c>
      <c r="M27" s="31">
        <v>1</v>
      </c>
      <c r="N27" s="31">
        <v>1</v>
      </c>
      <c r="O27" s="31">
        <v>1</v>
      </c>
      <c r="P27" s="187">
        <v>1</v>
      </c>
      <c r="Q27" s="31">
        <v>1</v>
      </c>
      <c r="R27" s="31">
        <v>1</v>
      </c>
      <c r="S27" s="187">
        <v>1</v>
      </c>
      <c r="T27" s="31">
        <v>1</v>
      </c>
      <c r="U27" s="31"/>
      <c r="V27" s="31">
        <v>1</v>
      </c>
      <c r="W27" s="31">
        <v>1</v>
      </c>
      <c r="X27" s="31">
        <v>1</v>
      </c>
      <c r="Y27" s="31">
        <v>1</v>
      </c>
      <c r="Z27" s="31">
        <v>1</v>
      </c>
      <c r="AA27" s="31">
        <v>1</v>
      </c>
      <c r="AB27" s="29"/>
    </row>
    <row r="28" spans="2:28" x14ac:dyDescent="0.2">
      <c r="B28" s="198"/>
      <c r="C28" s="32" t="s">
        <v>123</v>
      </c>
      <c r="D28" s="32" t="s">
        <v>62</v>
      </c>
      <c r="E28" s="32" t="s">
        <v>124</v>
      </c>
      <c r="F28" s="33">
        <f t="shared" ref="F28:T28" si="4">$F26/F26/F27</f>
        <v>1</v>
      </c>
      <c r="G28" s="33">
        <f t="shared" si="4"/>
        <v>0.92682926829268286</v>
      </c>
      <c r="H28" s="33">
        <f t="shared" si="4"/>
        <v>0.86619557784362988</v>
      </c>
      <c r="I28" s="33">
        <f t="shared" si="4"/>
        <v>0.68559881643993792</v>
      </c>
      <c r="J28" s="33">
        <f t="shared" si="4"/>
        <v>0.60942117016883368</v>
      </c>
      <c r="K28" s="33">
        <f t="shared" si="4"/>
        <v>0.60942117016883368</v>
      </c>
      <c r="L28" s="33">
        <f t="shared" si="4"/>
        <v>0.5265398910258724</v>
      </c>
      <c r="M28" s="33">
        <f t="shared" si="4"/>
        <v>1.5108249496981891</v>
      </c>
      <c r="N28" s="33">
        <f t="shared" si="4"/>
        <v>1.2377142857142858</v>
      </c>
      <c r="O28" s="33">
        <f t="shared" si="4"/>
        <v>1.1942857142857144</v>
      </c>
      <c r="P28" s="187">
        <f t="shared" si="4"/>
        <v>0.87671428571428567</v>
      </c>
      <c r="Q28" s="33">
        <f t="shared" si="4"/>
        <v>0.84199639999999987</v>
      </c>
      <c r="R28" s="33">
        <f t="shared" si="4"/>
        <v>0.84199639999999987</v>
      </c>
      <c r="S28" s="187">
        <f t="shared" si="4"/>
        <v>0.59200875752599891</v>
      </c>
      <c r="T28" s="33">
        <f t="shared" si="4"/>
        <v>0.58383506659368734</v>
      </c>
      <c r="U28" s="34"/>
      <c r="V28" s="33">
        <f t="shared" ref="V28:AA28" si="5">$F26/V26/V27</f>
        <v>1.0259999999999985</v>
      </c>
      <c r="W28" s="33">
        <f t="shared" si="5"/>
        <v>1.0259999999999985</v>
      </c>
      <c r="X28" s="33">
        <f t="shared" si="5"/>
        <v>0.88408163265306128</v>
      </c>
      <c r="Y28" s="33">
        <f t="shared" si="5"/>
        <v>0.88408163265306128</v>
      </c>
      <c r="Z28" s="33">
        <f t="shared" si="5"/>
        <v>0.88408163265306128</v>
      </c>
      <c r="AA28" s="33">
        <f t="shared" si="5"/>
        <v>0.59513227513227529</v>
      </c>
      <c r="AB28" s="33"/>
    </row>
    <row r="29" spans="2:28" x14ac:dyDescent="0.2">
      <c r="B29" s="198"/>
      <c r="C29" s="26" t="s">
        <v>125</v>
      </c>
      <c r="D29" s="26" t="s">
        <v>62</v>
      </c>
      <c r="E29" s="26" t="s">
        <v>126</v>
      </c>
      <c r="F29" s="31">
        <v>0.96</v>
      </c>
      <c r="G29" s="31">
        <v>1.019471</v>
      </c>
      <c r="H29" s="31">
        <v>1.0482750000000001</v>
      </c>
      <c r="I29" s="35">
        <v>1.1920955</v>
      </c>
      <c r="J29" s="31">
        <v>1.1443664999999998</v>
      </c>
      <c r="K29" s="31"/>
      <c r="L29" s="31"/>
      <c r="M29" s="31">
        <v>0.94104999999999994</v>
      </c>
      <c r="N29" s="31">
        <v>0.98199999999999998</v>
      </c>
      <c r="O29" s="31">
        <v>1</v>
      </c>
      <c r="P29" s="187">
        <v>1.1105</v>
      </c>
      <c r="Q29" s="31">
        <v>1.1793</v>
      </c>
      <c r="R29" s="31"/>
      <c r="S29" s="187">
        <v>1.27315</v>
      </c>
      <c r="T29" s="31"/>
      <c r="U29" s="31"/>
      <c r="V29" s="31">
        <v>1.1399999999999999</v>
      </c>
      <c r="W29" s="31"/>
      <c r="X29" s="31"/>
      <c r="Y29" s="31">
        <v>1.1185</v>
      </c>
      <c r="Z29" s="31">
        <v>1.2595000000000001</v>
      </c>
      <c r="AA29" s="31"/>
      <c r="AB29" s="31"/>
    </row>
    <row r="30" spans="2:28" x14ac:dyDescent="0.2">
      <c r="B30" s="198"/>
      <c r="C30" s="26" t="s">
        <v>127</v>
      </c>
      <c r="D30" s="26" t="s">
        <v>62</v>
      </c>
      <c r="E30" s="26" t="s">
        <v>126</v>
      </c>
      <c r="F30" s="31">
        <v>1.1655</v>
      </c>
      <c r="G30" s="31">
        <v>0.98941875000000001</v>
      </c>
      <c r="H30" s="31">
        <v>0.88903199999999993</v>
      </c>
      <c r="I30" s="36">
        <v>0.76367450000000003</v>
      </c>
      <c r="J30" s="31">
        <v>0.67992600000000003</v>
      </c>
      <c r="K30" s="31"/>
      <c r="L30" s="31"/>
      <c r="M30" s="31">
        <v>1.23305</v>
      </c>
      <c r="N30" s="31">
        <v>1.0405</v>
      </c>
      <c r="O30" s="31">
        <v>1</v>
      </c>
      <c r="P30" s="187">
        <v>0.82450000000000001</v>
      </c>
      <c r="Q30" s="31">
        <v>0.74469999999999992</v>
      </c>
      <c r="R30" s="31"/>
      <c r="S30" s="187">
        <v>0.58325000000000005</v>
      </c>
      <c r="T30" s="31"/>
      <c r="U30" s="31"/>
      <c r="V30" s="31">
        <v>0.81399999999999995</v>
      </c>
      <c r="W30" s="31"/>
      <c r="X30" s="31"/>
      <c r="Y30" s="31">
        <v>0.83499999999999996</v>
      </c>
      <c r="Z30" s="31">
        <v>0.67649999999999999</v>
      </c>
      <c r="AA30" s="31"/>
      <c r="AB30" s="31"/>
    </row>
    <row r="31" spans="2:28" ht="17" x14ac:dyDescent="0.2">
      <c r="B31" s="198"/>
      <c r="C31" s="8" t="s">
        <v>128</v>
      </c>
      <c r="D31" s="8" t="s">
        <v>129</v>
      </c>
      <c r="E31" s="8" t="s">
        <v>130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174"/>
      <c r="Q31" s="8"/>
      <c r="R31" s="8"/>
      <c r="S31" s="174"/>
      <c r="T31" s="8"/>
      <c r="U31" s="8"/>
      <c r="V31" s="8"/>
      <c r="W31" s="8"/>
      <c r="X31" s="8"/>
      <c r="Y31" s="8"/>
      <c r="Z31" s="8"/>
      <c r="AA31" s="8"/>
      <c r="AB31" s="8"/>
    </row>
    <row r="32" spans="2:28" ht="17" x14ac:dyDescent="0.2">
      <c r="B32" s="198"/>
      <c r="C32" s="8" t="s">
        <v>131</v>
      </c>
      <c r="D32" s="8" t="s">
        <v>62</v>
      </c>
      <c r="E32" s="8" t="s">
        <v>132</v>
      </c>
      <c r="F32" s="8"/>
      <c r="G32" s="8"/>
      <c r="H32" s="20">
        <v>1.24</v>
      </c>
      <c r="I32" s="20"/>
      <c r="J32" s="20"/>
      <c r="K32" s="20"/>
      <c r="L32" s="20"/>
      <c r="M32" s="20"/>
      <c r="N32" s="20">
        <v>1</v>
      </c>
      <c r="O32" s="20"/>
      <c r="P32" s="183">
        <v>1.17</v>
      </c>
      <c r="Q32" s="20"/>
      <c r="R32" s="20"/>
      <c r="S32" s="183">
        <v>1.32</v>
      </c>
      <c r="T32" s="20"/>
      <c r="U32" s="20"/>
      <c r="V32" s="20"/>
      <c r="W32" s="20"/>
      <c r="X32" s="20"/>
      <c r="Y32" s="20">
        <v>1.1200000000000001</v>
      </c>
      <c r="Z32" s="20"/>
      <c r="AA32" s="20">
        <v>1.32</v>
      </c>
      <c r="AB32" s="20"/>
    </row>
    <row r="33" spans="2:28" ht="17" x14ac:dyDescent="0.2">
      <c r="B33" s="198"/>
      <c r="C33" s="8" t="s">
        <v>133</v>
      </c>
      <c r="D33" s="8" t="s">
        <v>62</v>
      </c>
      <c r="E33" s="8" t="s">
        <v>132</v>
      </c>
      <c r="F33" s="8"/>
      <c r="G33" s="8"/>
      <c r="H33" s="20">
        <v>0.69</v>
      </c>
      <c r="I33" s="20"/>
      <c r="J33" s="20"/>
      <c r="K33" s="20"/>
      <c r="L33" s="20"/>
      <c r="M33" s="20"/>
      <c r="N33" s="20">
        <v>1</v>
      </c>
      <c r="O33" s="20"/>
      <c r="P33" s="183">
        <v>0.72</v>
      </c>
      <c r="Q33" s="20"/>
      <c r="R33" s="20"/>
      <c r="S33" s="183">
        <v>0.65</v>
      </c>
      <c r="T33" s="20"/>
      <c r="U33" s="20"/>
      <c r="V33" s="20"/>
      <c r="W33" s="20"/>
      <c r="X33" s="20"/>
      <c r="Y33" s="20">
        <v>0.76</v>
      </c>
      <c r="Z33" s="20"/>
      <c r="AA33" s="20">
        <v>0.65</v>
      </c>
      <c r="AB33" s="20"/>
    </row>
    <row r="34" spans="2:28" ht="17" x14ac:dyDescent="0.2">
      <c r="B34" s="194" t="s">
        <v>134</v>
      </c>
      <c r="C34" s="5" t="s">
        <v>113</v>
      </c>
      <c r="D34" s="5" t="s">
        <v>114</v>
      </c>
      <c r="E34" s="5" t="s">
        <v>115</v>
      </c>
      <c r="F34" s="27">
        <v>240</v>
      </c>
      <c r="G34" s="5">
        <v>210</v>
      </c>
      <c r="H34" s="27">
        <v>210</v>
      </c>
      <c r="I34" s="27">
        <v>180</v>
      </c>
      <c r="J34" s="27">
        <v>160</v>
      </c>
      <c r="K34" s="27">
        <v>160</v>
      </c>
      <c r="L34" s="27">
        <v>154</v>
      </c>
      <c r="M34" s="27">
        <v>240</v>
      </c>
      <c r="N34" s="27">
        <v>240</v>
      </c>
      <c r="O34" s="27">
        <v>240</v>
      </c>
      <c r="P34" s="172">
        <v>210</v>
      </c>
      <c r="Q34" s="27">
        <v>210</v>
      </c>
      <c r="R34" s="5">
        <v>210</v>
      </c>
      <c r="S34" s="179">
        <v>169</v>
      </c>
      <c r="T34" s="5">
        <v>169</v>
      </c>
      <c r="U34" s="5"/>
      <c r="V34" s="28">
        <v>216</v>
      </c>
      <c r="W34" s="28">
        <v>216</v>
      </c>
      <c r="X34" s="27">
        <v>200</v>
      </c>
      <c r="Y34" s="27">
        <v>200</v>
      </c>
      <c r="Z34" s="27">
        <v>200</v>
      </c>
      <c r="AA34" s="5">
        <v>168</v>
      </c>
      <c r="AB34" s="5"/>
    </row>
    <row r="35" spans="2:28" ht="17" x14ac:dyDescent="0.2">
      <c r="B35" s="195"/>
      <c r="C35" s="8" t="s">
        <v>116</v>
      </c>
      <c r="D35" s="8" t="s">
        <v>114</v>
      </c>
      <c r="E35" s="8" t="s">
        <v>117</v>
      </c>
      <c r="F35" s="8">
        <v>50</v>
      </c>
      <c r="G35" s="8">
        <v>50</v>
      </c>
      <c r="H35" s="8">
        <v>50</v>
      </c>
      <c r="I35" s="8">
        <v>50</v>
      </c>
      <c r="J35" s="8">
        <v>50</v>
      </c>
      <c r="K35" s="8">
        <v>50</v>
      </c>
      <c r="L35" s="8">
        <v>48</v>
      </c>
      <c r="M35" s="8">
        <v>57</v>
      </c>
      <c r="N35" s="8">
        <v>57</v>
      </c>
      <c r="O35" s="8">
        <v>57</v>
      </c>
      <c r="P35" s="174">
        <v>51</v>
      </c>
      <c r="Q35" s="8">
        <v>51</v>
      </c>
      <c r="R35" s="8">
        <v>51</v>
      </c>
      <c r="S35" s="174">
        <v>45</v>
      </c>
      <c r="T35" s="8">
        <v>48</v>
      </c>
      <c r="U35" s="8"/>
      <c r="V35" s="26">
        <v>54</v>
      </c>
      <c r="W35" s="26">
        <v>54</v>
      </c>
      <c r="X35" s="8">
        <v>54</v>
      </c>
      <c r="Y35" s="8">
        <v>54</v>
      </c>
      <c r="Z35" s="8">
        <v>54</v>
      </c>
      <c r="AA35" s="8">
        <v>48</v>
      </c>
      <c r="AB35" s="8"/>
    </row>
    <row r="36" spans="2:28" x14ac:dyDescent="0.2">
      <c r="B36" s="195"/>
      <c r="C36" s="26" t="s">
        <v>118</v>
      </c>
      <c r="D36" s="26" t="s">
        <v>119</v>
      </c>
      <c r="E36" s="26" t="s">
        <v>120</v>
      </c>
      <c r="F36" s="29">
        <v>120.63492063492065</v>
      </c>
      <c r="G36" s="30">
        <v>130.15873015873018</v>
      </c>
      <c r="H36" s="29">
        <v>130.15873015873018</v>
      </c>
      <c r="I36" s="30">
        <v>164.44444444444446</v>
      </c>
      <c r="J36" s="29">
        <v>185</v>
      </c>
      <c r="K36" s="29">
        <v>185</v>
      </c>
      <c r="L36" s="29">
        <v>200.21645021645023</v>
      </c>
      <c r="M36" s="29">
        <v>79.847053531264066</v>
      </c>
      <c r="N36" s="29">
        <v>97.465886939571149</v>
      </c>
      <c r="O36" s="29">
        <v>101.01010101010101</v>
      </c>
      <c r="P36" s="186">
        <v>137.59889920880636</v>
      </c>
      <c r="Q36" s="29">
        <f>P36/0.98/0.98</f>
        <v>143.27248980508784</v>
      </c>
      <c r="R36" s="30">
        <v>143.27248980508784</v>
      </c>
      <c r="S36" s="188">
        <f>193.778331430153/1.04/1.04</f>
        <v>179.15896027196098</v>
      </c>
      <c r="T36" s="30">
        <f>193.778331430153*45/48</f>
        <v>181.66718571576845</v>
      </c>
      <c r="U36" s="29"/>
      <c r="V36" s="29">
        <v>117.57789535567332</v>
      </c>
      <c r="W36" s="29">
        <v>117.57789535567332</v>
      </c>
      <c r="X36" s="29">
        <v>136.45224171539962</v>
      </c>
      <c r="Y36" s="29">
        <v>136.45224171539962</v>
      </c>
      <c r="Z36" s="29">
        <v>136.45224171539962</v>
      </c>
      <c r="AA36" s="30">
        <v>178.57142857142856</v>
      </c>
      <c r="AB36" s="30"/>
    </row>
    <row r="37" spans="2:28" x14ac:dyDescent="0.2">
      <c r="B37" s="195"/>
      <c r="C37" s="26" t="s">
        <v>121</v>
      </c>
      <c r="D37" s="26" t="s">
        <v>62</v>
      </c>
      <c r="E37" s="26" t="s">
        <v>122</v>
      </c>
      <c r="F37" s="31">
        <v>1</v>
      </c>
      <c r="G37" s="31">
        <v>1</v>
      </c>
      <c r="H37" s="31">
        <v>1.07</v>
      </c>
      <c r="I37" s="31">
        <v>1.07</v>
      </c>
      <c r="J37" s="31">
        <v>1.07</v>
      </c>
      <c r="K37" s="31">
        <v>1.07</v>
      </c>
      <c r="L37" s="31">
        <v>1.07</v>
      </c>
      <c r="M37" s="31">
        <v>1</v>
      </c>
      <c r="N37" s="31">
        <v>1</v>
      </c>
      <c r="O37" s="31">
        <v>1</v>
      </c>
      <c r="P37" s="187">
        <v>1</v>
      </c>
      <c r="Q37" s="31">
        <v>1</v>
      </c>
      <c r="R37" s="31">
        <v>1</v>
      </c>
      <c r="S37" s="187">
        <v>1</v>
      </c>
      <c r="T37" s="31">
        <v>1</v>
      </c>
      <c r="U37" s="31"/>
      <c r="V37" s="31">
        <v>1</v>
      </c>
      <c r="W37" s="31">
        <v>1</v>
      </c>
      <c r="X37" s="31">
        <v>1</v>
      </c>
      <c r="Y37" s="31">
        <v>1</v>
      </c>
      <c r="Z37" s="31">
        <v>1</v>
      </c>
      <c r="AA37" s="31">
        <v>1</v>
      </c>
      <c r="AB37" s="29"/>
    </row>
    <row r="38" spans="2:28" x14ac:dyDescent="0.2">
      <c r="B38" s="195"/>
      <c r="C38" s="32" t="s">
        <v>123</v>
      </c>
      <c r="D38" s="32" t="s">
        <v>62</v>
      </c>
      <c r="E38" s="32" t="s">
        <v>135</v>
      </c>
      <c r="F38" s="33">
        <f t="shared" ref="F38:T38" si="6">$F36/F36/F37</f>
        <v>1</v>
      </c>
      <c r="G38" s="33">
        <f t="shared" si="6"/>
        <v>0.92682926829268286</v>
      </c>
      <c r="H38" s="33">
        <f t="shared" si="6"/>
        <v>0.86619557784362877</v>
      </c>
      <c r="I38" s="33">
        <f t="shared" si="6"/>
        <v>0.68559881643993792</v>
      </c>
      <c r="J38" s="33">
        <f t="shared" si="6"/>
        <v>0.60942117016883368</v>
      </c>
      <c r="K38" s="33">
        <f t="shared" si="6"/>
        <v>0.60942117016883368</v>
      </c>
      <c r="L38" s="33">
        <f t="shared" si="6"/>
        <v>0.56310516123600241</v>
      </c>
      <c r="M38" s="33">
        <f t="shared" si="6"/>
        <v>1.5108249496981891</v>
      </c>
      <c r="N38" s="33">
        <f t="shared" si="6"/>
        <v>1.2377142857142858</v>
      </c>
      <c r="O38" s="33">
        <f t="shared" si="6"/>
        <v>1.1942857142857144</v>
      </c>
      <c r="P38" s="187">
        <f t="shared" si="6"/>
        <v>0.87671428571428567</v>
      </c>
      <c r="Q38" s="33">
        <f t="shared" si="6"/>
        <v>0.84199639999999987</v>
      </c>
      <c r="R38" s="33">
        <f t="shared" si="6"/>
        <v>0.84199639999999987</v>
      </c>
      <c r="S38" s="187">
        <f t="shared" si="6"/>
        <v>0.67334014693877664</v>
      </c>
      <c r="T38" s="33">
        <f t="shared" si="6"/>
        <v>0.66404353741496702</v>
      </c>
      <c r="U38" s="34"/>
      <c r="V38" s="33">
        <f t="shared" ref="V38:AA38" si="7">$F36/V36/V37</f>
        <v>1.0259999999999985</v>
      </c>
      <c r="W38" s="33">
        <f t="shared" si="7"/>
        <v>1.0259999999999985</v>
      </c>
      <c r="X38" s="33">
        <f t="shared" si="7"/>
        <v>0.88408163265306128</v>
      </c>
      <c r="Y38" s="33">
        <f t="shared" si="7"/>
        <v>0.88408163265306128</v>
      </c>
      <c r="Z38" s="33">
        <f t="shared" si="7"/>
        <v>0.88408163265306128</v>
      </c>
      <c r="AA38" s="33">
        <f t="shared" si="7"/>
        <v>0.67555555555555569</v>
      </c>
      <c r="AB38" s="33"/>
    </row>
    <row r="39" spans="2:28" x14ac:dyDescent="0.2">
      <c r="B39" s="195"/>
      <c r="C39" s="26" t="s">
        <v>125</v>
      </c>
      <c r="D39" s="26" t="s">
        <v>62</v>
      </c>
      <c r="E39" s="26" t="s">
        <v>126</v>
      </c>
      <c r="F39" s="31">
        <v>0.96</v>
      </c>
      <c r="G39" s="35">
        <v>1.019471</v>
      </c>
      <c r="H39" s="31">
        <v>1.0482750000000001</v>
      </c>
      <c r="I39" s="35">
        <v>1.1920955</v>
      </c>
      <c r="J39" s="31">
        <v>1.1443664999999998</v>
      </c>
      <c r="K39" s="28"/>
      <c r="L39" s="28"/>
      <c r="M39" s="31">
        <v>0.94104999999999994</v>
      </c>
      <c r="N39" s="31">
        <v>0.98199999999999998</v>
      </c>
      <c r="O39" s="31">
        <v>1</v>
      </c>
      <c r="P39" s="187">
        <v>1.1105</v>
      </c>
      <c r="Q39" s="31">
        <v>1.1793</v>
      </c>
      <c r="R39" s="28"/>
      <c r="S39" s="192">
        <v>1.3105</v>
      </c>
      <c r="T39" s="28"/>
      <c r="U39" s="28"/>
      <c r="V39" s="31">
        <v>1.1399999999999999</v>
      </c>
      <c r="W39" s="28"/>
      <c r="X39" s="31"/>
      <c r="Y39" s="31">
        <v>1.1185</v>
      </c>
      <c r="Z39" s="31">
        <v>1.2595000000000001</v>
      </c>
      <c r="AA39" s="35">
        <f>AVERAGE([1]FTEFOM!Y17:Y18)</f>
        <v>1.3714999999999999</v>
      </c>
      <c r="AB39" s="35"/>
    </row>
    <row r="40" spans="2:28" x14ac:dyDescent="0.2">
      <c r="B40" s="195"/>
      <c r="C40" s="26" t="s">
        <v>127</v>
      </c>
      <c r="D40" s="26" t="s">
        <v>62</v>
      </c>
      <c r="E40" s="26" t="s">
        <v>126</v>
      </c>
      <c r="F40" s="31">
        <v>1.1655</v>
      </c>
      <c r="G40" s="36">
        <v>0.98941875000000001</v>
      </c>
      <c r="H40" s="31">
        <v>0.88903199999999993</v>
      </c>
      <c r="I40" s="36">
        <v>0.76367450000000003</v>
      </c>
      <c r="J40" s="31">
        <v>0.67992600000000003</v>
      </c>
      <c r="K40" s="37"/>
      <c r="L40" s="37"/>
      <c r="M40" s="31">
        <v>1.23305</v>
      </c>
      <c r="N40" s="31">
        <v>1.0405</v>
      </c>
      <c r="O40" s="31">
        <v>1</v>
      </c>
      <c r="P40" s="187">
        <v>0.82450000000000001</v>
      </c>
      <c r="Q40" s="31">
        <v>0.74469999999999992</v>
      </c>
      <c r="R40" s="37"/>
      <c r="S40" s="193">
        <v>0.62379999999999991</v>
      </c>
      <c r="T40" s="37"/>
      <c r="U40" s="37"/>
      <c r="V40" s="31">
        <v>0.81399999999999995</v>
      </c>
      <c r="W40" s="37"/>
      <c r="X40" s="31"/>
      <c r="Y40" s="31">
        <v>0.83499999999999996</v>
      </c>
      <c r="Z40" s="31">
        <v>0.67649999999999999</v>
      </c>
      <c r="AA40" s="36">
        <f>AVERAGE([1]FTEFOM!Y19:Y20)</f>
        <v>0.60250000000000004</v>
      </c>
      <c r="AB40" s="36"/>
    </row>
    <row r="41" spans="2:28" ht="17" x14ac:dyDescent="0.2">
      <c r="B41" s="195"/>
      <c r="C41" s="8" t="s">
        <v>128</v>
      </c>
      <c r="D41" s="8" t="s">
        <v>129</v>
      </c>
      <c r="E41" s="8" t="s">
        <v>130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174"/>
      <c r="Q41" s="8"/>
      <c r="R41" s="8"/>
      <c r="S41" s="174"/>
      <c r="T41" s="8"/>
      <c r="U41" s="8"/>
      <c r="V41" s="8"/>
      <c r="W41" s="8"/>
      <c r="X41" s="8"/>
      <c r="Y41" s="8"/>
      <c r="Z41" s="8"/>
      <c r="AA41" s="8"/>
      <c r="AB41" s="8"/>
    </row>
    <row r="42" spans="2:28" ht="17" x14ac:dyDescent="0.2">
      <c r="B42" s="195"/>
      <c r="C42" s="8" t="s">
        <v>131</v>
      </c>
      <c r="D42" s="8" t="s">
        <v>62</v>
      </c>
      <c r="E42" s="8" t="s">
        <v>132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174"/>
      <c r="Q42" s="8"/>
      <c r="R42" s="8"/>
      <c r="S42" s="174"/>
      <c r="T42" s="8"/>
      <c r="U42" s="8"/>
      <c r="V42" s="8"/>
      <c r="W42" s="8"/>
      <c r="X42" s="8"/>
      <c r="Y42" s="8"/>
      <c r="Z42" s="8"/>
      <c r="AA42" s="8"/>
      <c r="AB42" s="8"/>
    </row>
    <row r="43" spans="2:28" ht="17" x14ac:dyDescent="0.2">
      <c r="B43" s="196"/>
      <c r="C43" s="8" t="s">
        <v>133</v>
      </c>
      <c r="D43" s="8" t="s">
        <v>62</v>
      </c>
      <c r="E43" s="8" t="s">
        <v>132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174"/>
      <c r="Q43" s="8"/>
      <c r="R43" s="8"/>
      <c r="S43" s="174"/>
      <c r="T43" s="8"/>
      <c r="U43" s="8"/>
      <c r="V43" s="8"/>
      <c r="W43" s="8"/>
      <c r="X43" s="8"/>
      <c r="Y43" s="8"/>
      <c r="Z43" s="8"/>
      <c r="AA43" s="8"/>
      <c r="AB43" s="8"/>
    </row>
    <row r="44" spans="2:28" ht="17" x14ac:dyDescent="0.2">
      <c r="B44" s="194" t="s">
        <v>136</v>
      </c>
      <c r="C44" s="5" t="s">
        <v>113</v>
      </c>
      <c r="D44" s="5" t="s">
        <v>114</v>
      </c>
      <c r="E44" s="5" t="s">
        <v>115</v>
      </c>
      <c r="F44" s="5"/>
      <c r="G44" s="5">
        <v>240</v>
      </c>
      <c r="H44" s="5"/>
      <c r="I44" s="5"/>
      <c r="J44" s="5">
        <v>180</v>
      </c>
      <c r="K44" s="5">
        <v>180</v>
      </c>
      <c r="L44" s="5">
        <v>173</v>
      </c>
      <c r="M44" s="5">
        <v>300</v>
      </c>
      <c r="N44" s="5">
        <v>300</v>
      </c>
      <c r="O44" s="5"/>
      <c r="P44" s="179">
        <v>280</v>
      </c>
      <c r="Q44" s="5">
        <v>280</v>
      </c>
      <c r="R44" s="5">
        <v>280</v>
      </c>
      <c r="S44" s="179">
        <v>169</v>
      </c>
      <c r="T44" s="5">
        <v>169</v>
      </c>
      <c r="U44" s="5"/>
      <c r="V44" s="26">
        <v>270</v>
      </c>
      <c r="W44" s="26">
        <v>270</v>
      </c>
      <c r="X44" s="5">
        <v>254</v>
      </c>
      <c r="Y44" s="5">
        <v>254</v>
      </c>
      <c r="Z44" s="5"/>
      <c r="AA44" s="5">
        <v>200</v>
      </c>
      <c r="AB44" s="5"/>
    </row>
    <row r="45" spans="2:28" ht="17" x14ac:dyDescent="0.2">
      <c r="B45" s="195"/>
      <c r="C45" s="8" t="s">
        <v>116</v>
      </c>
      <c r="D45" s="8" t="s">
        <v>114</v>
      </c>
      <c r="E45" s="8" t="s">
        <v>117</v>
      </c>
      <c r="F45" s="8"/>
      <c r="G45" s="8">
        <v>50</v>
      </c>
      <c r="H45" s="8"/>
      <c r="I45" s="8"/>
      <c r="J45" s="8">
        <v>50</v>
      </c>
      <c r="K45" s="8">
        <v>50</v>
      </c>
      <c r="L45" s="8">
        <v>48</v>
      </c>
      <c r="M45" s="8">
        <v>64</v>
      </c>
      <c r="N45" s="8">
        <v>63</v>
      </c>
      <c r="O45" s="8"/>
      <c r="P45" s="174">
        <v>57</v>
      </c>
      <c r="Q45" s="8">
        <v>57</v>
      </c>
      <c r="R45" s="8">
        <v>57</v>
      </c>
      <c r="S45" s="174">
        <v>51</v>
      </c>
      <c r="T45" s="8">
        <v>54</v>
      </c>
      <c r="U45" s="8"/>
      <c r="V45" s="26">
        <v>60</v>
      </c>
      <c r="W45" s="26">
        <v>60</v>
      </c>
      <c r="X45" s="8">
        <v>60</v>
      </c>
      <c r="Y45" s="8">
        <v>60</v>
      </c>
      <c r="Z45" s="8"/>
      <c r="AA45" s="8">
        <v>48</v>
      </c>
      <c r="AB45" s="8"/>
    </row>
    <row r="46" spans="2:28" x14ac:dyDescent="0.2">
      <c r="B46" s="195"/>
      <c r="C46" s="26" t="s">
        <v>118</v>
      </c>
      <c r="D46" s="26" t="s">
        <v>119</v>
      </c>
      <c r="E46" s="26" t="s">
        <v>120</v>
      </c>
      <c r="F46" s="26"/>
      <c r="G46" s="31">
        <v>120.63492063492065</v>
      </c>
      <c r="H46" s="31"/>
      <c r="I46" s="26"/>
      <c r="J46" s="30">
        <v>164.44444444444446</v>
      </c>
      <c r="K46" s="30">
        <v>164.44444444444446</v>
      </c>
      <c r="L46" s="30">
        <v>178.22736030828517</v>
      </c>
      <c r="M46" s="30">
        <v>56.891025641025642</v>
      </c>
      <c r="N46" s="30">
        <v>57.794057794057792</v>
      </c>
      <c r="O46" s="26"/>
      <c r="P46" s="188">
        <v>92.336103416435833</v>
      </c>
      <c r="Q46" s="29">
        <f>P46/0.98/0.98</f>
        <v>96.143381316572089</v>
      </c>
      <c r="R46" s="29">
        <v>96.143381316572089</v>
      </c>
      <c r="S46" s="186">
        <f>170.980880673665/1.04/1.04</f>
        <v>158.08143553408377</v>
      </c>
      <c r="T46" s="29">
        <f>170.980880673665*51/54</f>
        <v>161.48194285846142</v>
      </c>
      <c r="U46" s="29"/>
      <c r="V46" s="31">
        <v>72.310405643738974</v>
      </c>
      <c r="W46" s="31">
        <v>72.310405643738974</v>
      </c>
      <c r="X46" s="29">
        <v>96.698439010913106</v>
      </c>
      <c r="Y46" s="29">
        <v>96.698439010913106</v>
      </c>
      <c r="Z46" s="26"/>
      <c r="AA46" s="29">
        <v>150</v>
      </c>
      <c r="AB46" s="29"/>
    </row>
    <row r="47" spans="2:28" x14ac:dyDescent="0.2">
      <c r="B47" s="195"/>
      <c r="C47" s="26" t="s">
        <v>121</v>
      </c>
      <c r="D47" s="26" t="s">
        <v>62</v>
      </c>
      <c r="E47" s="26" t="s">
        <v>122</v>
      </c>
      <c r="F47" s="31"/>
      <c r="G47" s="31">
        <v>1</v>
      </c>
      <c r="H47" s="31"/>
      <c r="I47" s="31"/>
      <c r="J47" s="31">
        <v>1.07</v>
      </c>
      <c r="K47" s="31">
        <v>1.07</v>
      </c>
      <c r="L47" s="31">
        <v>1.07</v>
      </c>
      <c r="M47" s="31">
        <v>1</v>
      </c>
      <c r="N47" s="31">
        <v>1</v>
      </c>
      <c r="O47" s="31"/>
      <c r="P47" s="187">
        <v>1</v>
      </c>
      <c r="Q47" s="31">
        <v>1</v>
      </c>
      <c r="R47" s="31">
        <v>1</v>
      </c>
      <c r="S47" s="187">
        <v>1</v>
      </c>
      <c r="T47" s="31">
        <v>1</v>
      </c>
      <c r="U47" s="31"/>
      <c r="V47" s="31">
        <v>1</v>
      </c>
      <c r="W47" s="31">
        <v>1</v>
      </c>
      <c r="X47" s="31">
        <v>1</v>
      </c>
      <c r="Y47" s="31">
        <v>1</v>
      </c>
      <c r="Z47" s="31"/>
      <c r="AA47" s="31">
        <v>1</v>
      </c>
      <c r="AB47" s="29"/>
    </row>
    <row r="48" spans="2:28" x14ac:dyDescent="0.2">
      <c r="B48" s="195"/>
      <c r="C48" s="26" t="s">
        <v>123</v>
      </c>
      <c r="D48" s="26" t="s">
        <v>62</v>
      </c>
      <c r="E48" s="26" t="s">
        <v>137</v>
      </c>
      <c r="F48" s="31"/>
      <c r="G48" s="31">
        <f>$F26/G46/G47</f>
        <v>1</v>
      </c>
      <c r="H48" s="31"/>
      <c r="I48" s="31"/>
      <c r="J48" s="31">
        <f>$F26/J46/J47</f>
        <v>0.68559881643993792</v>
      </c>
      <c r="K48" s="31">
        <f>$F26/K46/K47</f>
        <v>0.68559881643993792</v>
      </c>
      <c r="L48" s="31">
        <f>$F26/L46/L47</f>
        <v>0.63257917463524937</v>
      </c>
      <c r="M48" s="31">
        <f>$F26/M46/M47</f>
        <v>2.1204560697518446</v>
      </c>
      <c r="N48" s="31">
        <f>$F26/N46/N47</f>
        <v>2.0873239436619722</v>
      </c>
      <c r="O48" s="29"/>
      <c r="P48" s="187">
        <f>$F26/P46/P47</f>
        <v>1.3064761904761906</v>
      </c>
      <c r="Q48" s="31">
        <f>$F26/Q46/Q47</f>
        <v>1.2547397333333334</v>
      </c>
      <c r="R48" s="31">
        <f>$F26/R46/R47</f>
        <v>1.2547397333333334</v>
      </c>
      <c r="S48" s="187">
        <f>$F26/S46/S47</f>
        <v>0.76311883319727747</v>
      </c>
      <c r="T48" s="31">
        <f>$F26/T46/T47</f>
        <v>0.74704897959183525</v>
      </c>
      <c r="U48" s="29"/>
      <c r="V48" s="31">
        <f>$F26/V46/V47</f>
        <v>1.6682926829268294</v>
      </c>
      <c r="W48" s="31">
        <f>$F26/W46/W47</f>
        <v>1.6682926829268294</v>
      </c>
      <c r="X48" s="31">
        <f>$F26/X46/X47</f>
        <v>1.2475374149659866</v>
      </c>
      <c r="Y48" s="31">
        <f>$F26/Y46/Y47</f>
        <v>1.2475374149659866</v>
      </c>
      <c r="Z48" s="31"/>
      <c r="AA48" s="31">
        <f>$F26/AA46/AA47</f>
        <v>0.8042328042328043</v>
      </c>
      <c r="AB48" s="31"/>
    </row>
    <row r="49" spans="2:28" x14ac:dyDescent="0.2">
      <c r="B49" s="195"/>
      <c r="C49" s="26" t="s">
        <v>125</v>
      </c>
      <c r="D49" s="26" t="s">
        <v>62</v>
      </c>
      <c r="E49" s="26" t="s">
        <v>126</v>
      </c>
      <c r="F49" s="26"/>
      <c r="G49" s="31">
        <v>1.0198624999999999</v>
      </c>
      <c r="H49" s="31"/>
      <c r="I49" s="26"/>
      <c r="J49" s="35">
        <v>1.2287500000000002</v>
      </c>
      <c r="K49" s="26"/>
      <c r="L49" s="26"/>
      <c r="M49" s="35">
        <v>0.84559999999999991</v>
      </c>
      <c r="N49" s="35">
        <v>0.85599999999999998</v>
      </c>
      <c r="O49" s="26"/>
      <c r="P49" s="187">
        <v>1.0051999999999999</v>
      </c>
      <c r="Q49" s="31">
        <v>1.0156499999999999</v>
      </c>
      <c r="R49" s="26"/>
      <c r="S49" s="187">
        <v>1.2886000000000002</v>
      </c>
      <c r="T49" s="26"/>
      <c r="U49" s="26"/>
      <c r="V49" s="26"/>
      <c r="W49" s="26"/>
      <c r="X49" s="26"/>
      <c r="Y49" s="26"/>
      <c r="Z49" s="26"/>
      <c r="AA49" s="31">
        <v>1.341</v>
      </c>
      <c r="AB49" s="31"/>
    </row>
    <row r="50" spans="2:28" x14ac:dyDescent="0.2">
      <c r="B50" s="195"/>
      <c r="C50" s="26" t="s">
        <v>127</v>
      </c>
      <c r="D50" s="26" t="s">
        <v>62</v>
      </c>
      <c r="E50" s="26" t="s">
        <v>126</v>
      </c>
      <c r="F50" s="26"/>
      <c r="G50" s="31">
        <v>1.0428297</v>
      </c>
      <c r="H50" s="31"/>
      <c r="I50" s="26"/>
      <c r="J50" s="36">
        <v>0.71981680000000003</v>
      </c>
      <c r="K50" s="26"/>
      <c r="L50" s="26"/>
      <c r="M50" s="36">
        <v>1.4067500000000002</v>
      </c>
      <c r="N50" s="36">
        <v>1.3605</v>
      </c>
      <c r="O50" s="26"/>
      <c r="P50" s="189">
        <v>0.99225000000000008</v>
      </c>
      <c r="Q50" s="31">
        <v>0.97829999999999995</v>
      </c>
      <c r="R50" s="26"/>
      <c r="S50" s="187">
        <v>0.64224999999999999</v>
      </c>
      <c r="T50" s="26"/>
      <c r="U50" s="26"/>
      <c r="V50" s="26"/>
      <c r="W50" s="26"/>
      <c r="X50" s="26"/>
      <c r="Y50" s="26"/>
      <c r="Z50" s="26"/>
      <c r="AA50" s="31">
        <v>0.64849999999999997</v>
      </c>
      <c r="AB50" s="31"/>
    </row>
    <row r="51" spans="2:28" ht="17" x14ac:dyDescent="0.2">
      <c r="B51" s="195"/>
      <c r="C51" s="8" t="s">
        <v>128</v>
      </c>
      <c r="D51" s="8" t="s">
        <v>129</v>
      </c>
      <c r="E51" s="8" t="s">
        <v>130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174"/>
      <c r="Q51" s="8"/>
      <c r="R51" s="8"/>
      <c r="S51" s="174"/>
      <c r="T51" s="8"/>
      <c r="U51" s="8"/>
      <c r="V51" s="8"/>
      <c r="W51" s="8"/>
      <c r="X51" s="8"/>
      <c r="Y51" s="8"/>
      <c r="Z51" s="8"/>
      <c r="AA51" s="8"/>
      <c r="AB51" s="8"/>
    </row>
    <row r="52" spans="2:28" ht="17" x14ac:dyDescent="0.2">
      <c r="B52" s="195"/>
      <c r="C52" s="8" t="s">
        <v>131</v>
      </c>
      <c r="D52" s="8" t="s">
        <v>62</v>
      </c>
      <c r="E52" s="8" t="s">
        <v>132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174"/>
      <c r="Q52" s="8"/>
      <c r="R52" s="8"/>
      <c r="S52" s="174"/>
      <c r="T52" s="8"/>
      <c r="U52" s="8"/>
      <c r="V52" s="8"/>
      <c r="W52" s="8"/>
      <c r="X52" s="8"/>
      <c r="Y52" s="8"/>
      <c r="Z52" s="8"/>
      <c r="AA52" s="8"/>
      <c r="AB52" s="8"/>
    </row>
    <row r="53" spans="2:28" ht="17" x14ac:dyDescent="0.2">
      <c r="B53" s="196"/>
      <c r="C53" s="8" t="s">
        <v>133</v>
      </c>
      <c r="D53" s="8" t="s">
        <v>62</v>
      </c>
      <c r="E53" s="8" t="s">
        <v>132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174"/>
      <c r="Q53" s="8"/>
      <c r="R53" s="8"/>
      <c r="S53" s="174"/>
      <c r="T53" s="8"/>
      <c r="U53" s="8"/>
      <c r="V53" s="8"/>
      <c r="W53" s="8"/>
      <c r="X53" s="8"/>
      <c r="Y53" s="8"/>
      <c r="Z53" s="8"/>
      <c r="AA53" s="8"/>
      <c r="AB53" s="8"/>
    </row>
    <row r="54" spans="2:28" ht="17" x14ac:dyDescent="0.2">
      <c r="B54" s="194" t="s">
        <v>138</v>
      </c>
      <c r="C54" s="8" t="s">
        <v>139</v>
      </c>
      <c r="D54" s="8" t="s">
        <v>140</v>
      </c>
      <c r="E54" s="8" t="s">
        <v>141</v>
      </c>
      <c r="F54" s="38">
        <v>2.4E-2</v>
      </c>
      <c r="G54" s="38">
        <v>2.4E-2</v>
      </c>
      <c r="H54" s="38">
        <v>2.4E-2</v>
      </c>
      <c r="I54" s="38">
        <v>2.1000000000000001E-2</v>
      </c>
      <c r="J54" s="38">
        <v>1.9E-2</v>
      </c>
      <c r="K54" s="38">
        <v>1.9E-2</v>
      </c>
      <c r="L54" s="38">
        <v>1.7100000000000001E-2</v>
      </c>
      <c r="M54" s="39">
        <v>2.7359999999999999E-2</v>
      </c>
      <c r="N54" s="39">
        <v>2.7359999999999999E-2</v>
      </c>
      <c r="O54" s="39">
        <v>2.7359999999999999E-2</v>
      </c>
      <c r="P54" s="190">
        <v>2.1420000000000002E-2</v>
      </c>
      <c r="Q54" s="38">
        <f>P54*0.98*0.98</f>
        <v>2.0571768000000001E-2</v>
      </c>
      <c r="R54" s="38">
        <v>2.0571768000000001E-2</v>
      </c>
      <c r="S54" s="190">
        <v>2.1513024000000002E-2</v>
      </c>
      <c r="T54" s="38">
        <v>2.1215999999999999E-2</v>
      </c>
      <c r="U54" s="29"/>
      <c r="V54" s="29"/>
      <c r="W54" s="29"/>
      <c r="X54" s="38">
        <v>2.3E-2</v>
      </c>
      <c r="Y54" s="38">
        <v>2.3E-2</v>
      </c>
      <c r="Z54" s="38">
        <v>2.3E-2</v>
      </c>
      <c r="AA54" s="38">
        <v>1.7999999999999999E-2</v>
      </c>
      <c r="AB54" s="38"/>
    </row>
    <row r="55" spans="2:28" ht="17" x14ac:dyDescent="0.2">
      <c r="B55" s="195"/>
      <c r="C55" s="8" t="s">
        <v>142</v>
      </c>
      <c r="D55" s="8" t="s">
        <v>140</v>
      </c>
      <c r="E55" s="8" t="s">
        <v>143</v>
      </c>
      <c r="F55" s="38">
        <v>0.03</v>
      </c>
      <c r="G55" s="38">
        <v>0.03</v>
      </c>
      <c r="H55" s="38">
        <v>0.03</v>
      </c>
      <c r="I55" s="38">
        <v>2.3E-2</v>
      </c>
      <c r="J55" s="38">
        <v>2.1000000000000001E-2</v>
      </c>
      <c r="K55" s="38">
        <v>2.1000000000000001E-2</v>
      </c>
      <c r="L55" s="38">
        <v>1.89E-2</v>
      </c>
      <c r="M55" s="39">
        <v>3.4200000000000001E-2</v>
      </c>
      <c r="N55" s="39">
        <v>3.4200000000000001E-2</v>
      </c>
      <c r="O55" s="39">
        <v>3.4200000000000001E-2</v>
      </c>
      <c r="P55" s="190">
        <v>2.5704000000000001E-2</v>
      </c>
      <c r="Q55" s="38">
        <f>P55*0.98*0.98</f>
        <v>2.4686121599999999E-2</v>
      </c>
      <c r="R55" s="38">
        <v>2.4686121599999999E-2</v>
      </c>
      <c r="S55" s="190">
        <v>2.6574912000000006E-2</v>
      </c>
      <c r="T55" s="38">
        <v>2.6207999999999999E-2</v>
      </c>
      <c r="U55" s="29"/>
      <c r="V55" s="29"/>
      <c r="W55" s="29"/>
      <c r="X55" s="38">
        <v>3.2000000000000001E-2</v>
      </c>
      <c r="Y55" s="38">
        <v>3.2000000000000001E-2</v>
      </c>
      <c r="Z55" s="38">
        <v>3.2000000000000001E-2</v>
      </c>
      <c r="AA55" s="38">
        <v>2.1999999999999999E-2</v>
      </c>
      <c r="AB55" s="38"/>
    </row>
    <row r="56" spans="2:28" ht="17" x14ac:dyDescent="0.2">
      <c r="B56" s="195"/>
      <c r="C56" s="8" t="s">
        <v>144</v>
      </c>
      <c r="D56" s="8" t="s">
        <v>140</v>
      </c>
      <c r="E56" s="8" t="s">
        <v>145</v>
      </c>
      <c r="F56" s="38">
        <v>3.5999999999999997E-2</v>
      </c>
      <c r="G56" s="38">
        <v>3.5999999999999997E-2</v>
      </c>
      <c r="H56" s="38">
        <v>3.5999999999999997E-2</v>
      </c>
      <c r="I56" s="38">
        <v>3.15E-2</v>
      </c>
      <c r="J56" s="29"/>
      <c r="K56" s="29"/>
      <c r="L56" s="29"/>
      <c r="M56" s="39">
        <v>5.2999999999999999E-2</v>
      </c>
      <c r="N56" s="39">
        <v>5.2999999999999999E-2</v>
      </c>
      <c r="O56" s="39">
        <v>5.2999999999999999E-2</v>
      </c>
      <c r="P56" s="190">
        <v>4.2840000000000003E-2</v>
      </c>
      <c r="Q56" s="38">
        <f>P56*0.98*0.98</f>
        <v>4.1143536000000001E-2</v>
      </c>
      <c r="R56" s="38">
        <v>4.1143536000000001E-2</v>
      </c>
      <c r="S56" s="190">
        <v>3.9862368000000002E-2</v>
      </c>
      <c r="T56" s="38">
        <v>3.9312E-2</v>
      </c>
      <c r="U56" s="29"/>
      <c r="V56" s="29"/>
      <c r="W56" s="29"/>
      <c r="X56" s="38">
        <v>5.2999999999999999E-2</v>
      </c>
      <c r="Y56" s="38">
        <v>5.2999999999999999E-2</v>
      </c>
      <c r="Z56" s="38">
        <v>5.2999999999999999E-2</v>
      </c>
      <c r="AA56" s="29"/>
      <c r="AB56" s="29"/>
    </row>
    <row r="57" spans="2:28" ht="17" x14ac:dyDescent="0.2">
      <c r="B57" s="195"/>
      <c r="C57" s="13" t="s">
        <v>146</v>
      </c>
      <c r="D57" s="32" t="s">
        <v>62</v>
      </c>
      <c r="E57" s="13" t="s">
        <v>147</v>
      </c>
      <c r="F57" s="40">
        <f>F54/$F54</f>
        <v>1</v>
      </c>
      <c r="G57" s="40">
        <f t="shared" ref="G57:AA59" si="8">G54/$F54</f>
        <v>1</v>
      </c>
      <c r="H57" s="40">
        <f t="shared" si="8"/>
        <v>1</v>
      </c>
      <c r="I57" s="40">
        <f t="shared" si="8"/>
        <v>0.875</v>
      </c>
      <c r="J57" s="40">
        <f t="shared" si="8"/>
        <v>0.79166666666666663</v>
      </c>
      <c r="K57" s="40">
        <f t="shared" si="8"/>
        <v>0.79166666666666663</v>
      </c>
      <c r="L57" s="40">
        <f t="shared" si="8"/>
        <v>0.71250000000000002</v>
      </c>
      <c r="M57" s="40">
        <f t="shared" si="8"/>
        <v>1.1399999999999999</v>
      </c>
      <c r="N57" s="40">
        <f t="shared" si="8"/>
        <v>1.1399999999999999</v>
      </c>
      <c r="O57" s="40">
        <f t="shared" si="8"/>
        <v>1.1399999999999999</v>
      </c>
      <c r="P57" s="183">
        <f t="shared" si="8"/>
        <v>0.89250000000000007</v>
      </c>
      <c r="Q57" s="40">
        <f t="shared" si="8"/>
        <v>0.85715700000000006</v>
      </c>
      <c r="R57" s="40">
        <f t="shared" si="8"/>
        <v>0.85715700000000006</v>
      </c>
      <c r="S57" s="183">
        <f t="shared" si="8"/>
        <v>0.89637600000000006</v>
      </c>
      <c r="T57" s="40">
        <f t="shared" si="8"/>
        <v>0.8839999999999999</v>
      </c>
      <c r="U57" s="34"/>
      <c r="V57" s="34"/>
      <c r="W57" s="34"/>
      <c r="X57" s="40">
        <f t="shared" si="8"/>
        <v>0.95833333333333326</v>
      </c>
      <c r="Y57" s="40">
        <f t="shared" si="8"/>
        <v>0.95833333333333326</v>
      </c>
      <c r="Z57" s="40">
        <f t="shared" si="8"/>
        <v>0.95833333333333326</v>
      </c>
      <c r="AA57" s="40">
        <f t="shared" si="8"/>
        <v>0.74999999999999989</v>
      </c>
      <c r="AB57" s="40"/>
    </row>
    <row r="58" spans="2:28" ht="17" x14ac:dyDescent="0.2">
      <c r="B58" s="195"/>
      <c r="C58" s="13" t="s">
        <v>148</v>
      </c>
      <c r="D58" s="32" t="s">
        <v>62</v>
      </c>
      <c r="E58" s="13" t="s">
        <v>149</v>
      </c>
      <c r="F58" s="40">
        <f>F55/$F55</f>
        <v>1</v>
      </c>
      <c r="G58" s="40">
        <f t="shared" si="8"/>
        <v>1</v>
      </c>
      <c r="H58" s="40">
        <f t="shared" si="8"/>
        <v>1</v>
      </c>
      <c r="I58" s="40">
        <f t="shared" si="8"/>
        <v>0.76666666666666672</v>
      </c>
      <c r="J58" s="40">
        <f t="shared" si="8"/>
        <v>0.70000000000000007</v>
      </c>
      <c r="K58" s="40">
        <f t="shared" si="8"/>
        <v>0.70000000000000007</v>
      </c>
      <c r="L58" s="40">
        <f t="shared" si="8"/>
        <v>0.63</v>
      </c>
      <c r="M58" s="40">
        <f t="shared" si="8"/>
        <v>1.1400000000000001</v>
      </c>
      <c r="N58" s="40">
        <f t="shared" si="8"/>
        <v>1.1400000000000001</v>
      </c>
      <c r="O58" s="40">
        <f t="shared" si="8"/>
        <v>1.1400000000000001</v>
      </c>
      <c r="P58" s="183">
        <f t="shared" si="8"/>
        <v>0.85680000000000012</v>
      </c>
      <c r="Q58" s="40">
        <f t="shared" si="8"/>
        <v>0.82287072000000006</v>
      </c>
      <c r="R58" s="40">
        <f t="shared" si="8"/>
        <v>0.82287072000000006</v>
      </c>
      <c r="S58" s="183">
        <f t="shared" si="8"/>
        <v>0.88583040000000024</v>
      </c>
      <c r="T58" s="40">
        <f t="shared" si="8"/>
        <v>0.87359999999999993</v>
      </c>
      <c r="U58" s="34"/>
      <c r="V58" s="34"/>
      <c r="W58" s="34"/>
      <c r="X58" s="40">
        <f t="shared" si="8"/>
        <v>1.0666666666666667</v>
      </c>
      <c r="Y58" s="40">
        <f t="shared" si="8"/>
        <v>1.0666666666666667</v>
      </c>
      <c r="Z58" s="40">
        <f t="shared" si="8"/>
        <v>1.0666666666666667</v>
      </c>
      <c r="AA58" s="40">
        <f t="shared" si="8"/>
        <v>0.73333333333333328</v>
      </c>
      <c r="AB58" s="40"/>
    </row>
    <row r="59" spans="2:28" ht="17" x14ac:dyDescent="0.2">
      <c r="B59" s="196"/>
      <c r="C59" s="13" t="s">
        <v>150</v>
      </c>
      <c r="D59" s="32" t="s">
        <v>62</v>
      </c>
      <c r="E59" s="13" t="s">
        <v>151</v>
      </c>
      <c r="F59" s="40">
        <f>F56/$F56</f>
        <v>1</v>
      </c>
      <c r="G59" s="40">
        <f t="shared" si="8"/>
        <v>1</v>
      </c>
      <c r="H59" s="40">
        <f t="shared" si="8"/>
        <v>1</v>
      </c>
      <c r="I59" s="40">
        <f t="shared" si="8"/>
        <v>0.87500000000000011</v>
      </c>
      <c r="J59" s="34"/>
      <c r="K59" s="34"/>
      <c r="L59" s="34"/>
      <c r="M59" s="40">
        <f t="shared" si="8"/>
        <v>1.4722222222222223</v>
      </c>
      <c r="N59" s="40">
        <f t="shared" si="8"/>
        <v>1.4722222222222223</v>
      </c>
      <c r="O59" s="40">
        <f t="shared" si="8"/>
        <v>1.4722222222222223</v>
      </c>
      <c r="P59" s="183">
        <f t="shared" si="8"/>
        <v>1.1900000000000002</v>
      </c>
      <c r="Q59" s="40">
        <f t="shared" si="8"/>
        <v>1.1428760000000002</v>
      </c>
      <c r="R59" s="40">
        <f t="shared" si="8"/>
        <v>1.1428760000000002</v>
      </c>
      <c r="S59" s="183">
        <f t="shared" si="8"/>
        <v>1.107288</v>
      </c>
      <c r="T59" s="40">
        <f t="shared" si="8"/>
        <v>1.0920000000000001</v>
      </c>
      <c r="U59" s="34"/>
      <c r="V59" s="34"/>
      <c r="W59" s="34"/>
      <c r="X59" s="40">
        <f t="shared" si="8"/>
        <v>1.4722222222222223</v>
      </c>
      <c r="Y59" s="40">
        <f t="shared" si="8"/>
        <v>1.4722222222222223</v>
      </c>
      <c r="Z59" s="40">
        <f t="shared" si="8"/>
        <v>1.4722222222222223</v>
      </c>
      <c r="AA59" s="34"/>
      <c r="AB59" s="34"/>
    </row>
    <row r="60" spans="2:28" ht="18" thickBot="1" x14ac:dyDescent="0.25">
      <c r="B60" s="14" t="s">
        <v>152</v>
      </c>
      <c r="C60" s="41" t="s">
        <v>153</v>
      </c>
      <c r="D60" s="42" t="s">
        <v>62</v>
      </c>
      <c r="E60" s="42" t="s">
        <v>154</v>
      </c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180"/>
      <c r="Q60" s="42"/>
      <c r="R60" s="42"/>
      <c r="S60" s="180"/>
      <c r="T60" s="42"/>
      <c r="U60" s="42"/>
      <c r="V60" s="42"/>
      <c r="W60" s="42"/>
      <c r="X60" s="42"/>
      <c r="Y60" s="42"/>
      <c r="Z60" s="42"/>
      <c r="AA60" s="42"/>
      <c r="AB60" s="42"/>
    </row>
    <row r="62" spans="2:28" x14ac:dyDescent="0.2">
      <c r="B62" s="43" t="s">
        <v>155</v>
      </c>
    </row>
    <row r="63" spans="2:28" ht="17" thickBot="1" x14ac:dyDescent="0.25"/>
    <row r="64" spans="2:28" ht="18" thickBot="1" x14ac:dyDescent="0.25">
      <c r="B64" s="3" t="s">
        <v>1</v>
      </c>
      <c r="C64" s="4" t="s">
        <v>2</v>
      </c>
      <c r="D64" s="4" t="s">
        <v>3</v>
      </c>
      <c r="E64" s="4" t="s">
        <v>4</v>
      </c>
      <c r="F64" s="4">
        <v>1276.31</v>
      </c>
      <c r="G64" s="4">
        <v>1276.4000000000001</v>
      </c>
      <c r="H64" s="4">
        <v>1277.2</v>
      </c>
      <c r="I64" s="4">
        <v>1278.2</v>
      </c>
      <c r="J64" s="4">
        <v>1278.3</v>
      </c>
      <c r="K64" s="4">
        <v>1278.4000000000001</v>
      </c>
      <c r="L64" s="4">
        <v>1278.5999999999999</v>
      </c>
      <c r="M64" s="4" t="s">
        <v>5</v>
      </c>
      <c r="N64" s="4" t="s">
        <v>6</v>
      </c>
      <c r="O64" s="4" t="s">
        <v>7</v>
      </c>
      <c r="P64" s="177" t="s">
        <v>8</v>
      </c>
      <c r="Q64" s="4" t="s">
        <v>9</v>
      </c>
      <c r="R64" s="4" t="s">
        <v>10</v>
      </c>
      <c r="S64" s="177" t="s">
        <v>11</v>
      </c>
      <c r="T64" s="4" t="s">
        <v>12</v>
      </c>
      <c r="U64" s="4" t="s">
        <v>13</v>
      </c>
      <c r="V64" s="4" t="s">
        <v>14</v>
      </c>
      <c r="W64" s="4" t="s">
        <v>15</v>
      </c>
      <c r="X64" s="4" t="s">
        <v>16</v>
      </c>
      <c r="Y64" s="4" t="s">
        <v>17</v>
      </c>
      <c r="Z64" s="4" t="s">
        <v>18</v>
      </c>
      <c r="AA64" s="4" t="s">
        <v>19</v>
      </c>
      <c r="AB64" s="4" t="s">
        <v>20</v>
      </c>
    </row>
    <row r="65" spans="2:28" ht="18" thickTop="1" x14ac:dyDescent="0.2">
      <c r="B65" s="197" t="s">
        <v>156</v>
      </c>
      <c r="C65" s="17" t="s">
        <v>157</v>
      </c>
      <c r="D65" s="17" t="s">
        <v>158</v>
      </c>
      <c r="E65" s="17" t="s">
        <v>159</v>
      </c>
      <c r="F65" s="17" t="s">
        <v>160</v>
      </c>
      <c r="G65" s="17"/>
      <c r="H65" s="17" t="s">
        <v>160</v>
      </c>
      <c r="I65" s="17" t="s">
        <v>160</v>
      </c>
      <c r="J65" s="17"/>
      <c r="K65" s="17"/>
      <c r="L65" s="17"/>
      <c r="M65" s="17"/>
      <c r="N65" s="17" t="s">
        <v>160</v>
      </c>
      <c r="O65" s="17" t="s">
        <v>160</v>
      </c>
      <c r="P65" s="181" t="s">
        <v>160</v>
      </c>
      <c r="Q65" s="17" t="s">
        <v>160</v>
      </c>
      <c r="R65" s="17"/>
      <c r="S65" s="181" t="s">
        <v>160</v>
      </c>
      <c r="T65" s="17" t="s">
        <v>160</v>
      </c>
      <c r="U65" s="17"/>
      <c r="V65" s="17"/>
      <c r="W65" s="17"/>
      <c r="X65" s="17"/>
      <c r="Y65" s="17"/>
      <c r="Z65" s="17"/>
      <c r="AA65" s="17"/>
      <c r="AB65" s="17"/>
    </row>
    <row r="66" spans="2:28" ht="17" x14ac:dyDescent="0.2">
      <c r="B66" s="198"/>
      <c r="C66" s="8" t="s">
        <v>161</v>
      </c>
      <c r="D66" s="8" t="s">
        <v>162</v>
      </c>
      <c r="E66" s="8" t="s">
        <v>163</v>
      </c>
      <c r="F66" s="8"/>
      <c r="G66" s="8"/>
      <c r="H66" s="8"/>
      <c r="I66" s="8"/>
      <c r="J66" s="8"/>
      <c r="K66" s="8"/>
      <c r="L66" s="8"/>
      <c r="M66" s="8"/>
      <c r="N66" s="8">
        <v>22.2</v>
      </c>
      <c r="O66" s="8">
        <v>22.2</v>
      </c>
      <c r="P66" s="174">
        <v>43.4</v>
      </c>
      <c r="Q66" s="8"/>
      <c r="R66" s="8"/>
      <c r="S66" s="174" t="s">
        <v>164</v>
      </c>
      <c r="T66" s="8"/>
      <c r="U66" s="8"/>
      <c r="V66" s="8"/>
      <c r="W66" s="8"/>
      <c r="X66" s="8"/>
      <c r="Y66" s="8"/>
      <c r="Z66" s="8"/>
      <c r="AA66" s="8"/>
      <c r="AB66" s="8"/>
    </row>
    <row r="67" spans="2:28" ht="17" x14ac:dyDescent="0.2">
      <c r="B67" s="198" t="s">
        <v>165</v>
      </c>
      <c r="C67" s="8" t="s">
        <v>166</v>
      </c>
      <c r="D67" s="8" t="s">
        <v>23</v>
      </c>
      <c r="E67" s="8" t="s">
        <v>167</v>
      </c>
      <c r="F67" s="8"/>
      <c r="G67" s="8"/>
      <c r="H67" s="8"/>
      <c r="I67" s="8"/>
      <c r="J67" s="8"/>
      <c r="K67" s="8"/>
      <c r="L67" s="8"/>
      <c r="M67" s="8"/>
      <c r="N67" s="8"/>
      <c r="O67" s="8"/>
      <c r="P67" s="174"/>
      <c r="Q67" s="8"/>
      <c r="R67" s="8"/>
      <c r="S67" s="174"/>
      <c r="T67" s="8"/>
      <c r="U67" s="8"/>
      <c r="V67" s="8"/>
      <c r="W67" s="8"/>
      <c r="X67" s="8"/>
      <c r="Y67" s="8"/>
      <c r="Z67" s="8"/>
      <c r="AA67" s="8"/>
      <c r="AB67" s="8"/>
    </row>
    <row r="68" spans="2:28" ht="18" thickBot="1" x14ac:dyDescent="0.25">
      <c r="B68" s="199"/>
      <c r="C68" s="42" t="s">
        <v>168</v>
      </c>
      <c r="D68" s="42" t="s">
        <v>23</v>
      </c>
      <c r="E68" s="42" t="s">
        <v>169</v>
      </c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180"/>
      <c r="Q68" s="42"/>
      <c r="R68" s="42"/>
      <c r="S68" s="180"/>
      <c r="T68" s="42"/>
      <c r="U68" s="42"/>
      <c r="V68" s="42"/>
      <c r="W68" s="42"/>
      <c r="X68" s="42"/>
      <c r="Y68" s="42"/>
      <c r="Z68" s="42"/>
      <c r="AA68" s="42"/>
      <c r="AB68" s="42"/>
    </row>
  </sheetData>
  <mergeCells count="9">
    <mergeCell ref="B54:B59"/>
    <mergeCell ref="B65:B66"/>
    <mergeCell ref="B67:B68"/>
    <mergeCell ref="B5:B8"/>
    <mergeCell ref="B14:B19"/>
    <mergeCell ref="B20:B23"/>
    <mergeCell ref="B24:B33"/>
    <mergeCell ref="B34:B43"/>
    <mergeCell ref="B44:B5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B1CEE-4F9E-FE43-BC50-B7B25C6AA369}">
  <dimension ref="A1:AX53"/>
  <sheetViews>
    <sheetView topLeftCell="O1" zoomScale="70" zoomScaleNormal="70" workbookViewId="0">
      <pane xSplit="8660" ySplit="1380" topLeftCell="Y1" activePane="bottomRight"/>
      <selection activeCell="AJ24" sqref="AJ24"/>
      <selection pane="topRight" activeCell="AJ24" sqref="AJ24"/>
      <selection pane="bottomLeft" activeCell="AJ24" sqref="AJ24"/>
      <selection pane="bottomRight" activeCell="AJ24" sqref="AJ24"/>
    </sheetView>
  </sheetViews>
  <sheetFormatPr baseColWidth="10" defaultColWidth="9.1640625" defaultRowHeight="26" x14ac:dyDescent="0.3"/>
  <cols>
    <col min="15" max="15" width="30.5" style="44" customWidth="1"/>
    <col min="16" max="16" width="16.83203125" style="50" customWidth="1"/>
    <col min="17" max="17" width="15" style="50" customWidth="1"/>
    <col min="18" max="18" width="22.6640625" style="50" hidden="1" customWidth="1"/>
    <col min="19" max="20" width="26.1640625" style="50" hidden="1" customWidth="1"/>
    <col min="21" max="21" width="26.33203125" style="45" hidden="1" customWidth="1"/>
    <col min="22" max="22" width="27.83203125" style="72" bestFit="1" customWidth="1"/>
    <col min="27" max="27" width="12.1640625" customWidth="1"/>
    <col min="28" max="28" width="16.33203125" customWidth="1"/>
    <col min="29" max="30" width="14.6640625" customWidth="1"/>
    <col min="31" max="31" width="16.6640625" customWidth="1"/>
    <col min="32" max="33" width="14.6640625" customWidth="1"/>
    <col min="34" max="34" width="16.6640625" customWidth="1"/>
    <col min="35" max="35" width="45.5" customWidth="1"/>
    <col min="36" max="38" width="20.6640625" customWidth="1"/>
    <col min="39" max="41" width="14.6640625" customWidth="1"/>
    <col min="42" max="43" width="30.6640625" customWidth="1"/>
    <col min="44" max="44" width="19.5" style="46" customWidth="1"/>
    <col min="45" max="45" width="147" style="47" customWidth="1"/>
    <col min="46" max="16384" width="9.1640625" style="46"/>
  </cols>
  <sheetData>
    <row r="1" spans="16:50" x14ac:dyDescent="0.3">
      <c r="P1" s="205"/>
      <c r="Q1" s="205"/>
      <c r="R1" s="205"/>
      <c r="S1" s="205"/>
      <c r="T1" s="205"/>
      <c r="AT1" s="48"/>
      <c r="AU1" s="48"/>
      <c r="AV1" s="48"/>
      <c r="AW1" s="48"/>
      <c r="AX1" s="49"/>
    </row>
    <row r="2" spans="16:50" x14ac:dyDescent="0.3">
      <c r="W2" s="50"/>
      <c r="AJ2">
        <f>1/AJ13</f>
        <v>2.7359999999999999E-2</v>
      </c>
      <c r="AT2" s="48"/>
      <c r="AU2" s="48"/>
      <c r="AV2" s="48"/>
      <c r="AW2" s="48"/>
      <c r="AX2" s="49"/>
    </row>
    <row r="3" spans="16:50" x14ac:dyDescent="0.3">
      <c r="P3" s="51" t="s">
        <v>170</v>
      </c>
      <c r="Q3" s="51" t="s">
        <v>171</v>
      </c>
      <c r="R3" s="51" t="s">
        <v>172</v>
      </c>
      <c r="S3" s="51" t="s">
        <v>173</v>
      </c>
      <c r="T3" s="51" t="s">
        <v>174</v>
      </c>
      <c r="U3" s="51" t="s">
        <v>175</v>
      </c>
      <c r="V3" s="73" t="s">
        <v>176</v>
      </c>
      <c r="AA3" s="52" t="s">
        <v>177</v>
      </c>
      <c r="AT3" s="48"/>
      <c r="AU3" s="48"/>
      <c r="AV3" s="48"/>
      <c r="AW3" s="48"/>
      <c r="AX3" s="49"/>
    </row>
    <row r="4" spans="16:50" x14ac:dyDescent="0.3">
      <c r="P4" s="53" t="str">
        <f>AA13</f>
        <v>N7</v>
      </c>
      <c r="Q4" s="45" t="str">
        <f>AB13</f>
        <v>Q4'17</v>
      </c>
      <c r="R4" s="54">
        <v>43100</v>
      </c>
      <c r="S4" s="55">
        <f>AE13</f>
        <v>79.847053531264066</v>
      </c>
      <c r="T4" s="55">
        <f>AH13</f>
        <v>79.847053531264066</v>
      </c>
      <c r="U4" s="55">
        <f>AR13</f>
        <v>0.95652173913043492</v>
      </c>
      <c r="V4" s="74">
        <f>1/AJ13</f>
        <v>2.7359999999999999E-2</v>
      </c>
      <c r="AA4" s="206" t="s">
        <v>170</v>
      </c>
      <c r="AB4" s="203" t="s">
        <v>50</v>
      </c>
      <c r="AC4" s="206" t="s">
        <v>178</v>
      </c>
      <c r="AD4" s="206"/>
      <c r="AE4" s="206"/>
      <c r="AF4" s="206" t="s">
        <v>179</v>
      </c>
      <c r="AG4" s="206"/>
      <c r="AH4" s="206"/>
      <c r="AI4" s="206" t="s">
        <v>180</v>
      </c>
      <c r="AJ4" s="207" t="s">
        <v>181</v>
      </c>
      <c r="AK4" s="208"/>
      <c r="AL4" s="209"/>
      <c r="AM4" s="207" t="s">
        <v>182</v>
      </c>
      <c r="AN4" s="208"/>
      <c r="AO4" s="208"/>
      <c r="AP4" s="208"/>
      <c r="AQ4" s="208"/>
      <c r="AR4" s="209"/>
      <c r="AS4" s="203" t="s">
        <v>180</v>
      </c>
      <c r="AT4" s="48"/>
      <c r="AU4" s="48"/>
      <c r="AV4" s="48"/>
      <c r="AW4" s="48"/>
      <c r="AX4" s="49"/>
    </row>
    <row r="5" spans="16:50" x14ac:dyDescent="0.3">
      <c r="P5" s="53" t="str">
        <f>AA13</f>
        <v>N7</v>
      </c>
      <c r="Q5" s="45"/>
      <c r="R5" s="54">
        <v>43646</v>
      </c>
      <c r="S5" s="55">
        <f>AE13</f>
        <v>79.847053531264066</v>
      </c>
      <c r="T5" s="55">
        <f>AH13</f>
        <v>79.847053531264066</v>
      </c>
      <c r="U5" s="55">
        <f>AR13</f>
        <v>0.95652173913043492</v>
      </c>
      <c r="V5" s="73"/>
      <c r="AA5" s="206"/>
      <c r="AB5" s="204"/>
      <c r="AC5" s="56" t="s">
        <v>183</v>
      </c>
      <c r="AD5" s="56" t="s">
        <v>184</v>
      </c>
      <c r="AE5" s="56" t="s">
        <v>185</v>
      </c>
      <c r="AF5" s="56" t="s">
        <v>183</v>
      </c>
      <c r="AG5" s="56" t="s">
        <v>184</v>
      </c>
      <c r="AH5" s="56" t="s">
        <v>185</v>
      </c>
      <c r="AI5" s="206"/>
      <c r="AJ5" s="56" t="s">
        <v>186</v>
      </c>
      <c r="AK5" s="56" t="s">
        <v>187</v>
      </c>
      <c r="AL5" s="56" t="s">
        <v>188</v>
      </c>
      <c r="AM5" s="56" t="s">
        <v>189</v>
      </c>
      <c r="AN5" s="56" t="s">
        <v>190</v>
      </c>
      <c r="AO5" s="56" t="s">
        <v>191</v>
      </c>
      <c r="AP5" s="56" t="s">
        <v>192</v>
      </c>
      <c r="AQ5" s="56" t="s">
        <v>193</v>
      </c>
      <c r="AR5" s="57" t="s">
        <v>194</v>
      </c>
      <c r="AS5" s="204"/>
      <c r="AT5" s="48"/>
      <c r="AU5" s="48"/>
      <c r="AV5" s="48"/>
      <c r="AW5" s="48"/>
      <c r="AX5" s="49"/>
    </row>
    <row r="6" spans="16:50" x14ac:dyDescent="0.3">
      <c r="P6" s="53" t="str">
        <f>AA14</f>
        <v>N7+</v>
      </c>
      <c r="Q6" s="45" t="str">
        <f>AB14</f>
        <v>Q2'19</v>
      </c>
      <c r="R6" s="54">
        <v>43646</v>
      </c>
      <c r="S6" s="55">
        <f>AE14</f>
        <v>97.465886939571149</v>
      </c>
      <c r="T6" s="55">
        <f>AH14</f>
        <v>97.465886939571149</v>
      </c>
      <c r="U6" s="55">
        <f>AR14</f>
        <v>0.98521739130434793</v>
      </c>
      <c r="V6" s="73">
        <f>1/AJ14</f>
        <v>2.7359999999999999E-2</v>
      </c>
      <c r="AA6" s="58">
        <v>1276.3</v>
      </c>
      <c r="AB6" s="58" t="s">
        <v>37</v>
      </c>
      <c r="AC6" s="58">
        <v>240</v>
      </c>
      <c r="AD6" s="58">
        <v>50</v>
      </c>
      <c r="AE6" s="59">
        <v>120.63492063492065</v>
      </c>
      <c r="AF6" s="58">
        <v>240</v>
      </c>
      <c r="AG6" s="58">
        <v>50</v>
      </c>
      <c r="AH6" s="59">
        <v>120.63492063492065</v>
      </c>
      <c r="AI6" s="60"/>
      <c r="AJ6" s="59">
        <v>41.666666666666664</v>
      </c>
      <c r="AK6" s="59">
        <v>33.333333333333336</v>
      </c>
      <c r="AL6" s="59">
        <v>27.777777777777779</v>
      </c>
      <c r="AM6" s="61">
        <v>1</v>
      </c>
      <c r="AN6" s="62"/>
      <c r="AO6" s="62"/>
      <c r="AP6" s="61">
        <v>1</v>
      </c>
      <c r="AQ6" s="61"/>
      <c r="AR6" s="61">
        <f t="shared" ref="AR6:AR12" si="0">AM6/AM$6</f>
        <v>1</v>
      </c>
      <c r="AS6" s="63"/>
      <c r="AT6" s="48"/>
      <c r="AU6" s="48"/>
      <c r="AV6" s="48"/>
      <c r="AW6" s="48"/>
      <c r="AX6" s="49"/>
    </row>
    <row r="7" spans="16:50" x14ac:dyDescent="0.3">
      <c r="P7" s="53" t="str">
        <f>AA14</f>
        <v>N7+</v>
      </c>
      <c r="Q7" s="45"/>
      <c r="R7" s="54">
        <v>44012</v>
      </c>
      <c r="S7" s="55">
        <f>AE14</f>
        <v>97.465886939571149</v>
      </c>
      <c r="T7" s="55">
        <f>AH14</f>
        <v>97.465886939571149</v>
      </c>
      <c r="U7" s="55">
        <f>AR14</f>
        <v>0.98521739130434793</v>
      </c>
      <c r="V7" s="73"/>
      <c r="AA7" s="58">
        <v>1276.4000000000001</v>
      </c>
      <c r="AB7" s="58" t="s">
        <v>39</v>
      </c>
      <c r="AC7" s="58">
        <v>210</v>
      </c>
      <c r="AD7" s="58">
        <v>50</v>
      </c>
      <c r="AE7" s="59">
        <v>130.15873015873018</v>
      </c>
      <c r="AF7" s="58">
        <v>210</v>
      </c>
      <c r="AG7" s="58">
        <v>50</v>
      </c>
      <c r="AH7" s="59">
        <v>130.15873015873018</v>
      </c>
      <c r="AI7" s="60"/>
      <c r="AJ7" s="59">
        <v>41.666666666666664</v>
      </c>
      <c r="AK7" s="59">
        <v>33.333333333333336</v>
      </c>
      <c r="AL7" s="59">
        <v>27.777777777777779</v>
      </c>
      <c r="AM7" s="64">
        <v>1.1539999999999999</v>
      </c>
      <c r="AN7" s="62"/>
      <c r="AO7" s="62"/>
      <c r="AP7" s="61"/>
      <c r="AQ7" s="61"/>
      <c r="AR7" s="61">
        <f t="shared" si="0"/>
        <v>1.1539999999999999</v>
      </c>
      <c r="AS7" s="63" t="s">
        <v>195</v>
      </c>
      <c r="AT7" s="48"/>
      <c r="AU7" s="48"/>
      <c r="AV7" s="48"/>
      <c r="AW7" s="48"/>
      <c r="AX7" s="49"/>
    </row>
    <row r="8" spans="16:50" x14ac:dyDescent="0.3">
      <c r="P8" s="53" t="s">
        <v>7</v>
      </c>
      <c r="Q8" s="45" t="str">
        <f>AB15</f>
        <v>Q4'20</v>
      </c>
      <c r="R8" s="54"/>
      <c r="S8" s="55"/>
      <c r="T8" s="55"/>
      <c r="U8" s="55"/>
      <c r="V8" s="73">
        <f>1/AJ15</f>
        <v>2.7359999999999999E-2</v>
      </c>
      <c r="AA8" s="58">
        <v>1277.2</v>
      </c>
      <c r="AB8" s="58" t="s">
        <v>39</v>
      </c>
      <c r="AC8" s="58">
        <v>210</v>
      </c>
      <c r="AD8" s="58">
        <v>50</v>
      </c>
      <c r="AE8" s="59">
        <v>139.26984126984112</v>
      </c>
      <c r="AF8" s="58">
        <v>210</v>
      </c>
      <c r="AG8" s="58">
        <v>50</v>
      </c>
      <c r="AH8" s="59">
        <v>139.26984126984112</v>
      </c>
      <c r="AI8" s="66" t="s">
        <v>196</v>
      </c>
      <c r="AJ8" s="67">
        <v>41.666666666666664</v>
      </c>
      <c r="AK8" s="67">
        <v>33.333333333333336</v>
      </c>
      <c r="AL8" s="67">
        <v>27.777777777777779</v>
      </c>
      <c r="AM8" s="64">
        <v>1.21</v>
      </c>
      <c r="AN8" s="62"/>
      <c r="AO8" s="62"/>
      <c r="AP8" s="61"/>
      <c r="AQ8" s="61"/>
      <c r="AR8" s="61">
        <f t="shared" si="0"/>
        <v>1.21</v>
      </c>
      <c r="AS8" s="63"/>
      <c r="AT8" s="48"/>
      <c r="AU8" s="48"/>
      <c r="AV8" s="48"/>
      <c r="AW8" s="48"/>
      <c r="AX8" s="49"/>
    </row>
    <row r="9" spans="16:50" x14ac:dyDescent="0.3">
      <c r="P9" s="53" t="s">
        <v>7</v>
      </c>
      <c r="Q9" s="45"/>
      <c r="R9" s="54"/>
      <c r="S9" s="55"/>
      <c r="T9" s="55"/>
      <c r="U9" s="55"/>
      <c r="V9" s="73"/>
      <c r="AA9" s="58">
        <v>1278.2</v>
      </c>
      <c r="AB9" s="58" t="s">
        <v>52</v>
      </c>
      <c r="AC9" s="58">
        <v>180</v>
      </c>
      <c r="AD9" s="58">
        <v>50</v>
      </c>
      <c r="AE9" s="59">
        <v>175.95555555555509</v>
      </c>
      <c r="AF9" s="58">
        <v>180</v>
      </c>
      <c r="AG9" s="58">
        <v>50</v>
      </c>
      <c r="AH9" s="59">
        <v>175.95555555555509</v>
      </c>
      <c r="AI9" s="66" t="s">
        <v>196</v>
      </c>
      <c r="AJ9" s="67">
        <v>47.619047619047613</v>
      </c>
      <c r="AK9" s="67">
        <v>43.478260869565219</v>
      </c>
      <c r="AL9" s="67">
        <v>31.746031746031747</v>
      </c>
      <c r="AM9" s="64">
        <v>1.3</v>
      </c>
      <c r="AN9" s="62"/>
      <c r="AO9" s="62"/>
      <c r="AP9" s="61"/>
      <c r="AQ9" s="61"/>
      <c r="AR9" s="61">
        <f t="shared" si="0"/>
        <v>1.3</v>
      </c>
      <c r="AS9" s="63" t="s">
        <v>197</v>
      </c>
      <c r="AT9" s="48"/>
      <c r="AU9" s="48"/>
      <c r="AV9" s="48"/>
      <c r="AW9" s="48"/>
      <c r="AX9" s="49"/>
    </row>
    <row r="10" spans="16:50" x14ac:dyDescent="0.3">
      <c r="P10" s="65" t="str">
        <f>AA16</f>
        <v>N5</v>
      </c>
      <c r="Q10" s="45" t="str">
        <f>AB16</f>
        <v>Q2'20</v>
      </c>
      <c r="R10" s="54">
        <v>44012</v>
      </c>
      <c r="S10" s="55">
        <f>AE16</f>
        <v>137.59889920880636</v>
      </c>
      <c r="T10" s="55">
        <f>AH16</f>
        <v>137.59889920880636</v>
      </c>
      <c r="U10" s="55">
        <f>AR16</f>
        <v>1.1000000000000001</v>
      </c>
      <c r="V10" s="73">
        <f>1/AJ16</f>
        <v>2.1420000000000002E-2</v>
      </c>
      <c r="AA10" s="58">
        <v>1278.3</v>
      </c>
      <c r="AB10" s="58" t="s">
        <v>47</v>
      </c>
      <c r="AC10" s="58">
        <v>160</v>
      </c>
      <c r="AD10" s="58">
        <v>50</v>
      </c>
      <c r="AE10" s="59">
        <v>197.95000000000002</v>
      </c>
      <c r="AF10" s="58">
        <v>160</v>
      </c>
      <c r="AG10" s="58">
        <v>50</v>
      </c>
      <c r="AH10" s="59">
        <v>197.95000000000002</v>
      </c>
      <c r="AI10" s="66" t="s">
        <v>196</v>
      </c>
      <c r="AJ10" s="67">
        <v>52.631578947368425</v>
      </c>
      <c r="AK10" s="67">
        <v>47.619047619047613</v>
      </c>
      <c r="AL10" s="67"/>
      <c r="AM10" s="64">
        <f>AM9+5%</f>
        <v>1.35</v>
      </c>
      <c r="AN10" s="62"/>
      <c r="AO10" s="62"/>
      <c r="AP10" s="61"/>
      <c r="AQ10" s="61"/>
      <c r="AR10" s="61">
        <f t="shared" si="0"/>
        <v>1.35</v>
      </c>
      <c r="AS10" s="63" t="s">
        <v>198</v>
      </c>
      <c r="AT10" s="48"/>
      <c r="AU10" s="48"/>
      <c r="AV10" s="48"/>
      <c r="AW10" s="48"/>
      <c r="AX10" s="49"/>
    </row>
    <row r="11" spans="16:50" x14ac:dyDescent="0.3">
      <c r="P11" s="65" t="str">
        <f>AA16</f>
        <v>N5</v>
      </c>
      <c r="Q11" s="45"/>
      <c r="R11" s="54">
        <v>44561</v>
      </c>
      <c r="S11" s="55">
        <f>AE16</f>
        <v>137.59889920880636</v>
      </c>
      <c r="T11" s="55">
        <f>AH16</f>
        <v>137.59889920880636</v>
      </c>
      <c r="U11" s="55">
        <f>AR16</f>
        <v>1.1000000000000001</v>
      </c>
      <c r="V11" s="73"/>
      <c r="AA11" s="58">
        <v>1278.4000000000001</v>
      </c>
      <c r="AB11" s="58" t="s">
        <v>40</v>
      </c>
      <c r="AC11" s="58">
        <v>160</v>
      </c>
      <c r="AD11" s="58">
        <v>50</v>
      </c>
      <c r="AE11" s="59">
        <v>197.95000000000002</v>
      </c>
      <c r="AF11" s="58">
        <v>160</v>
      </c>
      <c r="AG11" s="58">
        <v>50</v>
      </c>
      <c r="AH11" s="59">
        <v>197.95000000000002</v>
      </c>
      <c r="AI11" s="66" t="s">
        <v>196</v>
      </c>
      <c r="AJ11" s="67">
        <v>52.631578947368425</v>
      </c>
      <c r="AK11" s="67">
        <v>47.619047619047613</v>
      </c>
      <c r="AL11" s="67"/>
      <c r="AM11" s="64">
        <f>AM10+5%</f>
        <v>1.4000000000000001</v>
      </c>
      <c r="AN11" s="62"/>
      <c r="AO11" s="62"/>
      <c r="AP11" s="61"/>
      <c r="AQ11" s="61"/>
      <c r="AR11" s="61">
        <f t="shared" si="0"/>
        <v>1.4000000000000001</v>
      </c>
      <c r="AS11" s="63" t="s">
        <v>199</v>
      </c>
      <c r="AT11" s="48"/>
      <c r="AU11" s="48"/>
      <c r="AV11" s="48"/>
      <c r="AW11" s="48"/>
      <c r="AX11" s="49"/>
    </row>
    <row r="12" spans="16:50" x14ac:dyDescent="0.3">
      <c r="P12" s="53" t="str">
        <f>AA17</f>
        <v>N4</v>
      </c>
      <c r="Q12" s="45" t="str">
        <f>AB17</f>
        <v>Q4'21</v>
      </c>
      <c r="R12" s="54">
        <v>44561</v>
      </c>
      <c r="S12" s="55">
        <f>AE17</f>
        <v>143.27248980508784</v>
      </c>
      <c r="T12" s="55">
        <f>AH17</f>
        <v>143.27248980508784</v>
      </c>
      <c r="U12" s="55">
        <f>AR17</f>
        <v>1.1000000000000001</v>
      </c>
      <c r="V12" s="74">
        <f>1/AJ17</f>
        <v>2.0571768000000001E-2</v>
      </c>
      <c r="AA12" s="58">
        <v>1278.5999999999999</v>
      </c>
      <c r="AB12" s="58" t="s">
        <v>53</v>
      </c>
      <c r="AC12" s="58">
        <v>144</v>
      </c>
      <c r="AD12" s="58">
        <v>48</v>
      </c>
      <c r="AE12" s="59">
        <v>229.10879629629625</v>
      </c>
      <c r="AF12" s="58">
        <v>154</v>
      </c>
      <c r="AG12" s="58">
        <v>48</v>
      </c>
      <c r="AH12" s="59">
        <v>214.23160173160176</v>
      </c>
      <c r="AI12" s="66" t="s">
        <v>196</v>
      </c>
      <c r="AJ12" s="67">
        <v>58.479532163742689</v>
      </c>
      <c r="AK12" s="67">
        <v>52.910052910052912</v>
      </c>
      <c r="AL12" s="67"/>
      <c r="AM12" s="64">
        <f>AM11+3%</f>
        <v>1.4300000000000002</v>
      </c>
      <c r="AN12" s="62"/>
      <c r="AO12" s="62"/>
      <c r="AP12" s="61"/>
      <c r="AQ12" s="61"/>
      <c r="AR12" s="61">
        <f t="shared" si="0"/>
        <v>1.4300000000000002</v>
      </c>
      <c r="AS12" s="63" t="s">
        <v>200</v>
      </c>
      <c r="AT12" s="48"/>
      <c r="AU12" s="48"/>
      <c r="AV12" s="48"/>
      <c r="AW12" s="48"/>
      <c r="AX12" s="49"/>
    </row>
    <row r="13" spans="16:50" x14ac:dyDescent="0.3">
      <c r="P13" s="53" t="str">
        <f>AA17</f>
        <v>N4</v>
      </c>
      <c r="Q13" s="45"/>
      <c r="R13" s="54">
        <v>44926</v>
      </c>
      <c r="S13" s="55">
        <f>AE17</f>
        <v>143.27248980508784</v>
      </c>
      <c r="T13" s="55">
        <f>AH17</f>
        <v>143.27248980508784</v>
      </c>
      <c r="U13" s="55">
        <f>AR17</f>
        <v>1.1000000000000001</v>
      </c>
      <c r="V13" s="73"/>
      <c r="AA13" s="58" t="s">
        <v>5</v>
      </c>
      <c r="AB13" s="58" t="s">
        <v>54</v>
      </c>
      <c r="AC13" s="58">
        <v>240</v>
      </c>
      <c r="AD13" s="58">
        <v>57</v>
      </c>
      <c r="AE13" s="59">
        <v>79.847053531264066</v>
      </c>
      <c r="AF13" s="58">
        <v>240</v>
      </c>
      <c r="AG13" s="58">
        <v>57</v>
      </c>
      <c r="AH13" s="59">
        <v>79.847053531264066</v>
      </c>
      <c r="AI13" s="60"/>
      <c r="AJ13" s="59">
        <v>36.549707602339183</v>
      </c>
      <c r="AK13" s="59">
        <v>29.239766081871345</v>
      </c>
      <c r="AL13" s="59">
        <v>18.867924528301888</v>
      </c>
      <c r="AM13" s="62"/>
      <c r="AN13" s="61">
        <v>1</v>
      </c>
      <c r="AO13" s="62"/>
      <c r="AP13" s="61"/>
      <c r="AQ13" s="61"/>
      <c r="AR13" s="61">
        <f>AN13/AN$16*AR$16</f>
        <v>0.95652173913043492</v>
      </c>
      <c r="AS13" s="63"/>
      <c r="AT13" s="48"/>
      <c r="AU13" s="48"/>
      <c r="AV13" s="48"/>
      <c r="AW13" s="48"/>
      <c r="AX13" s="49"/>
    </row>
    <row r="14" spans="16:50" x14ac:dyDescent="0.3">
      <c r="P14" s="53" t="s">
        <v>10</v>
      </c>
      <c r="Q14" s="45" t="str">
        <f>AB18</f>
        <v>Q4'22</v>
      </c>
      <c r="R14" s="54"/>
      <c r="S14" s="55"/>
      <c r="T14" s="55"/>
      <c r="U14" s="55"/>
      <c r="V14" s="75">
        <f>V12*97.5%</f>
        <v>2.00574738E-2</v>
      </c>
      <c r="AA14" s="58" t="s">
        <v>6</v>
      </c>
      <c r="AB14" s="58" t="s">
        <v>29</v>
      </c>
      <c r="AC14" s="58">
        <v>240</v>
      </c>
      <c r="AD14" s="58">
        <v>57</v>
      </c>
      <c r="AE14" s="59">
        <v>97.465886939571149</v>
      </c>
      <c r="AF14" s="58">
        <v>240</v>
      </c>
      <c r="AG14" s="58">
        <v>57</v>
      </c>
      <c r="AH14" s="59">
        <v>97.465886939571149</v>
      </c>
      <c r="AI14" s="60"/>
      <c r="AJ14" s="59">
        <v>36.549707602339183</v>
      </c>
      <c r="AK14" s="59">
        <v>29.239766081871345</v>
      </c>
      <c r="AL14" s="59">
        <v>18.867924528301888</v>
      </c>
      <c r="AM14" s="62"/>
      <c r="AN14" s="61">
        <f>AN13*1.03</f>
        <v>1.03</v>
      </c>
      <c r="AO14" s="62"/>
      <c r="AP14" s="61"/>
      <c r="AQ14" s="61"/>
      <c r="AR14" s="61">
        <f>AN14/AN$16*AR$16</f>
        <v>0.98521739130434793</v>
      </c>
      <c r="AS14" s="63" t="s">
        <v>201</v>
      </c>
      <c r="AT14" s="48"/>
      <c r="AU14" s="48"/>
      <c r="AV14" s="48"/>
      <c r="AW14" s="48"/>
      <c r="AX14" s="49"/>
    </row>
    <row r="15" spans="16:50" x14ac:dyDescent="0.3">
      <c r="P15" s="53" t="s">
        <v>10</v>
      </c>
      <c r="Q15" s="45"/>
      <c r="R15" s="54"/>
      <c r="S15" s="55"/>
      <c r="T15" s="55"/>
      <c r="U15" s="55"/>
      <c r="AA15" s="58" t="s">
        <v>7</v>
      </c>
      <c r="AB15" s="58" t="s">
        <v>55</v>
      </c>
      <c r="AC15" s="58">
        <v>240</v>
      </c>
      <c r="AD15" s="58">
        <v>57</v>
      </c>
      <c r="AE15" s="59">
        <v>101.01010101010101</v>
      </c>
      <c r="AF15" s="58">
        <v>240</v>
      </c>
      <c r="AG15" s="58">
        <v>57</v>
      </c>
      <c r="AH15" s="59">
        <v>101.01010101010101</v>
      </c>
      <c r="AI15" s="60"/>
      <c r="AJ15" s="59">
        <v>36.549707602339183</v>
      </c>
      <c r="AK15" s="59">
        <v>29.239766081871345</v>
      </c>
      <c r="AL15" s="59">
        <v>18.867924528301888</v>
      </c>
      <c r="AM15" s="62"/>
      <c r="AN15" s="61">
        <f>AN14</f>
        <v>1.03</v>
      </c>
      <c r="AO15" s="62"/>
      <c r="AP15" s="61"/>
      <c r="AQ15" s="61"/>
      <c r="AR15" s="61">
        <f>AN15/AN$16*AR$16</f>
        <v>0.98521739130434793</v>
      </c>
      <c r="AS15" s="63" t="s">
        <v>202</v>
      </c>
      <c r="AT15" s="48"/>
      <c r="AU15" s="48"/>
      <c r="AV15" s="48"/>
      <c r="AW15" s="48"/>
      <c r="AX15" s="49"/>
    </row>
    <row r="16" spans="16:50" x14ac:dyDescent="0.3">
      <c r="P16" s="53" t="str">
        <f>AA19</f>
        <v>N3B</v>
      </c>
      <c r="Q16" s="45" t="str">
        <f>AB19</f>
        <v>Q4'22</v>
      </c>
      <c r="R16" s="54">
        <v>44926</v>
      </c>
      <c r="S16" s="55">
        <f>AE19</f>
        <v>203.77218934911244</v>
      </c>
      <c r="T16" s="55">
        <f>AH19</f>
        <v>179.15896027196098</v>
      </c>
      <c r="U16" s="55">
        <f>AR19</f>
        <v>1.2375</v>
      </c>
      <c r="V16" s="75">
        <f>1/AJ19</f>
        <v>2.1513024000000002E-2</v>
      </c>
      <c r="AA16" s="58" t="s">
        <v>8</v>
      </c>
      <c r="AB16" s="58" t="s">
        <v>44</v>
      </c>
      <c r="AC16" s="58">
        <v>210</v>
      </c>
      <c r="AD16" s="58">
        <v>51</v>
      </c>
      <c r="AE16" s="59">
        <v>137.59889920880636</v>
      </c>
      <c r="AF16" s="58">
        <v>210</v>
      </c>
      <c r="AG16" s="58">
        <v>51</v>
      </c>
      <c r="AH16" s="59">
        <v>137.59889920880636</v>
      </c>
      <c r="AI16" s="60"/>
      <c r="AJ16" s="59">
        <v>46.685340802987859</v>
      </c>
      <c r="AK16" s="59">
        <v>38.904450669156553</v>
      </c>
      <c r="AL16" s="59">
        <v>23.34267040149393</v>
      </c>
      <c r="AM16" s="62"/>
      <c r="AN16" s="62">
        <f>AN13*1.15</f>
        <v>1.1499999999999999</v>
      </c>
      <c r="AO16" s="62"/>
      <c r="AP16" s="61">
        <v>1.1000000000000001</v>
      </c>
      <c r="AQ16" s="61">
        <v>1</v>
      </c>
      <c r="AR16" s="61">
        <f>AP16/AP6*AM6</f>
        <v>1.1000000000000001</v>
      </c>
      <c r="AS16" s="63" t="s">
        <v>203</v>
      </c>
      <c r="AT16" s="48"/>
      <c r="AU16" s="48"/>
      <c r="AV16" s="48"/>
      <c r="AW16" s="48"/>
      <c r="AX16" s="49"/>
    </row>
    <row r="17" spans="16:50" x14ac:dyDescent="0.3">
      <c r="P17" s="53" t="str">
        <f>AA19</f>
        <v>N3B</v>
      </c>
      <c r="Q17" s="45"/>
      <c r="R17" s="54">
        <v>45291</v>
      </c>
      <c r="S17" s="55">
        <f>AE19</f>
        <v>203.77218934911244</v>
      </c>
      <c r="T17" s="55">
        <f>AH19</f>
        <v>179.15896027196098</v>
      </c>
      <c r="U17" s="55">
        <f>AR19</f>
        <v>1.2375</v>
      </c>
      <c r="AA17" s="58" t="s">
        <v>9</v>
      </c>
      <c r="AB17" s="58" t="s">
        <v>56</v>
      </c>
      <c r="AC17" s="58">
        <v>210</v>
      </c>
      <c r="AD17" s="58">
        <v>51</v>
      </c>
      <c r="AE17" s="59">
        <v>143.27248980508784</v>
      </c>
      <c r="AF17" s="58">
        <v>210</v>
      </c>
      <c r="AG17" s="58">
        <v>51</v>
      </c>
      <c r="AH17" s="59">
        <v>143.27248980508784</v>
      </c>
      <c r="AI17" s="60" t="s">
        <v>204</v>
      </c>
      <c r="AJ17" s="59">
        <v>48.610309041011931</v>
      </c>
      <c r="AK17" s="59">
        <v>40.508590867509945</v>
      </c>
      <c r="AL17" s="59">
        <v>24.305154520505965</v>
      </c>
      <c r="AM17" s="62"/>
      <c r="AN17" s="61">
        <f>AN16</f>
        <v>1.1499999999999999</v>
      </c>
      <c r="AO17" s="62"/>
      <c r="AP17" s="61"/>
      <c r="AQ17" s="61"/>
      <c r="AR17" s="61">
        <f>AN17/AN$16*AR$16</f>
        <v>1.1000000000000001</v>
      </c>
      <c r="AS17" s="63" t="s">
        <v>205</v>
      </c>
      <c r="AT17" s="48"/>
      <c r="AU17" s="48"/>
      <c r="AV17" s="48"/>
      <c r="AW17" s="48"/>
      <c r="AX17" s="49"/>
    </row>
    <row r="18" spans="16:50" x14ac:dyDescent="0.3">
      <c r="P18" s="53" t="str">
        <f>AA20</f>
        <v>N3E</v>
      </c>
      <c r="Q18" s="45" t="str">
        <f>AB20</f>
        <v>Q4'23</v>
      </c>
      <c r="R18" s="54">
        <v>45291</v>
      </c>
      <c r="S18" s="55">
        <f>AE20</f>
        <v>206.625</v>
      </c>
      <c r="T18" s="55">
        <f>AH20</f>
        <v>181.66718571576845</v>
      </c>
      <c r="U18" s="55">
        <f>AR20</f>
        <v>1.2993750000000002</v>
      </c>
      <c r="V18" s="75">
        <f>1/AJ20</f>
        <v>2.1215999999999999E-2</v>
      </c>
      <c r="AA18" s="58" t="s">
        <v>10</v>
      </c>
      <c r="AB18" s="58" t="s">
        <v>37</v>
      </c>
      <c r="AC18" s="58">
        <v>210</v>
      </c>
      <c r="AD18" s="58">
        <v>51</v>
      </c>
      <c r="AE18" s="59">
        <v>143.27248980508784</v>
      </c>
      <c r="AF18" s="58">
        <v>210</v>
      </c>
      <c r="AG18" s="58">
        <v>51</v>
      </c>
      <c r="AH18" s="59">
        <v>143.27248980508784</v>
      </c>
      <c r="AI18" s="60" t="s">
        <v>204</v>
      </c>
      <c r="AJ18" s="59">
        <v>48.610309041011931</v>
      </c>
      <c r="AK18" s="59">
        <v>40.508590867509945</v>
      </c>
      <c r="AL18" s="59">
        <v>24.305154520505965</v>
      </c>
      <c r="AM18" s="62"/>
      <c r="AN18" s="61">
        <f>AN17*1.06</f>
        <v>1.2189999999999999</v>
      </c>
      <c r="AO18" s="62"/>
      <c r="AP18" s="61"/>
      <c r="AQ18" s="61"/>
      <c r="AR18" s="61">
        <f>AN18/AN$16*AR$16</f>
        <v>1.1660000000000001</v>
      </c>
      <c r="AS18" s="63" t="s">
        <v>206</v>
      </c>
      <c r="AT18" s="48"/>
      <c r="AU18" s="48"/>
      <c r="AV18" s="48"/>
      <c r="AW18" s="48"/>
      <c r="AX18" s="49"/>
    </row>
    <row r="19" spans="16:50" x14ac:dyDescent="0.3">
      <c r="P19" s="53" t="str">
        <f>AA20</f>
        <v>N3E</v>
      </c>
      <c r="Q19" s="45"/>
      <c r="R19" s="54">
        <v>45838</v>
      </c>
      <c r="S19" s="55">
        <f>AE20</f>
        <v>206.625</v>
      </c>
      <c r="T19" s="55">
        <f>AH20</f>
        <v>181.66718571576845</v>
      </c>
      <c r="U19" s="55">
        <f>AR20</f>
        <v>1.2993750000000002</v>
      </c>
      <c r="AA19" s="58" t="s">
        <v>11</v>
      </c>
      <c r="AB19" s="58" t="s">
        <v>37</v>
      </c>
      <c r="AC19" s="58">
        <v>143</v>
      </c>
      <c r="AD19" s="58">
        <v>45</v>
      </c>
      <c r="AE19" s="59">
        <v>203.77218934911244</v>
      </c>
      <c r="AF19" s="58">
        <v>169</v>
      </c>
      <c r="AG19" s="58">
        <v>45</v>
      </c>
      <c r="AH19" s="59">
        <v>179.15896027196098</v>
      </c>
      <c r="AI19" s="60" t="s">
        <v>207</v>
      </c>
      <c r="AJ19" s="59">
        <v>46.483469734426919</v>
      </c>
      <c r="AK19" s="59">
        <v>37.629475499297975</v>
      </c>
      <c r="AL19" s="59">
        <v>25.086316999531988</v>
      </c>
      <c r="AM19" s="62"/>
      <c r="AN19" s="61">
        <f>AN16*1.125</f>
        <v>1.29375</v>
      </c>
      <c r="AO19" s="62"/>
      <c r="AP19" s="61"/>
      <c r="AQ19" s="61"/>
      <c r="AR19" s="61">
        <f>AN19/AN$16*AR$16</f>
        <v>1.2375</v>
      </c>
      <c r="AS19" s="63" t="s">
        <v>208</v>
      </c>
      <c r="AT19" s="48"/>
      <c r="AU19" s="48"/>
      <c r="AV19" s="48"/>
      <c r="AW19" s="48"/>
      <c r="AX19" s="49"/>
    </row>
    <row r="20" spans="16:50" x14ac:dyDescent="0.3">
      <c r="P20" s="53" t="str">
        <f>AA21</f>
        <v>N2</v>
      </c>
      <c r="Q20" s="50" t="str">
        <f>AB21</f>
        <v>Q2'25</v>
      </c>
      <c r="R20" s="54">
        <v>45838</v>
      </c>
      <c r="S20" s="55">
        <f>AE21</f>
        <v>260.4727272727273</v>
      </c>
      <c r="T20" s="55">
        <f>AH21</f>
        <v>214.69758311863544</v>
      </c>
      <c r="U20" s="55">
        <f>AR21</f>
        <v>1.3921875000000001</v>
      </c>
      <c r="AA20" s="58" t="s">
        <v>12</v>
      </c>
      <c r="AB20" s="58" t="s">
        <v>39</v>
      </c>
      <c r="AC20" s="58">
        <v>143</v>
      </c>
      <c r="AD20" s="58">
        <v>48</v>
      </c>
      <c r="AE20" s="59">
        <v>206.625</v>
      </c>
      <c r="AF20" s="58">
        <v>169</v>
      </c>
      <c r="AG20" s="58">
        <v>48</v>
      </c>
      <c r="AH20" s="59">
        <v>181.66718571576845</v>
      </c>
      <c r="AI20" s="60"/>
      <c r="AJ20" s="59">
        <v>47.134238310708902</v>
      </c>
      <c r="AK20" s="59">
        <v>38.156288156288156</v>
      </c>
      <c r="AL20" s="59">
        <v>25.437525437525437</v>
      </c>
      <c r="AM20" s="62"/>
      <c r="AN20" s="61">
        <f>AN19*1.05</f>
        <v>1.3584375</v>
      </c>
      <c r="AO20" s="62"/>
      <c r="AP20" s="61"/>
      <c r="AQ20" s="61"/>
      <c r="AR20" s="61">
        <f>AN20/AN$16*AR$16</f>
        <v>1.2993750000000002</v>
      </c>
      <c r="AS20" s="63" t="s">
        <v>209</v>
      </c>
      <c r="AT20" s="48"/>
      <c r="AU20" s="48"/>
      <c r="AV20" s="48"/>
      <c r="AW20" s="48"/>
      <c r="AX20" s="49"/>
    </row>
    <row r="21" spans="16:50" x14ac:dyDescent="0.3">
      <c r="P21" s="53" t="str">
        <f>AA21</f>
        <v>N2</v>
      </c>
      <c r="R21" s="54">
        <v>46203</v>
      </c>
      <c r="S21" s="55">
        <f>AE21</f>
        <v>260.4727272727273</v>
      </c>
      <c r="T21" s="55">
        <f>AH21</f>
        <v>214.69758311863544</v>
      </c>
      <c r="U21" s="55">
        <f>AR21</f>
        <v>1.3921875000000001</v>
      </c>
      <c r="AA21" s="58" t="s">
        <v>13</v>
      </c>
      <c r="AB21" s="58" t="s">
        <v>53</v>
      </c>
      <c r="AC21" s="58">
        <v>121</v>
      </c>
      <c r="AD21" s="58">
        <v>45</v>
      </c>
      <c r="AE21" s="59">
        <v>260.4727272727273</v>
      </c>
      <c r="AF21" s="58">
        <v>143</v>
      </c>
      <c r="AG21" s="58">
        <v>48</v>
      </c>
      <c r="AH21" s="59">
        <v>214.69758311863544</v>
      </c>
      <c r="AI21" s="60" t="s">
        <v>210</v>
      </c>
      <c r="AJ21" s="59"/>
      <c r="AK21" s="59"/>
      <c r="AL21" s="59"/>
      <c r="AM21" s="62"/>
      <c r="AN21" s="61">
        <f>AN19*1.125</f>
        <v>1.4554687499999999</v>
      </c>
      <c r="AO21" s="62"/>
      <c r="AP21" s="61"/>
      <c r="AQ21" s="61"/>
      <c r="AR21" s="61">
        <f>AN21/AN$16*AR$16</f>
        <v>1.3921875000000001</v>
      </c>
      <c r="AS21" s="63" t="s">
        <v>211</v>
      </c>
      <c r="AT21" s="48"/>
      <c r="AU21" s="48"/>
      <c r="AV21" s="48"/>
      <c r="AW21" s="48"/>
      <c r="AX21" s="49"/>
    </row>
    <row r="22" spans="16:50" x14ac:dyDescent="0.3">
      <c r="AA22" s="58" t="s">
        <v>14</v>
      </c>
      <c r="AB22" s="58" t="s">
        <v>41</v>
      </c>
      <c r="AC22" s="58">
        <v>216</v>
      </c>
      <c r="AD22" s="58">
        <v>54</v>
      </c>
      <c r="AE22" s="59">
        <v>117.57789535567332</v>
      </c>
      <c r="AF22" s="58">
        <v>216</v>
      </c>
      <c r="AG22" s="58">
        <v>54</v>
      </c>
      <c r="AH22" s="59">
        <v>117.57789535567332</v>
      </c>
      <c r="AI22" s="60"/>
      <c r="AJ22" s="59"/>
      <c r="AK22" s="59"/>
      <c r="AL22" s="59"/>
      <c r="AM22" s="62"/>
      <c r="AN22" s="62"/>
      <c r="AO22" s="61">
        <v>1</v>
      </c>
      <c r="AP22" s="61"/>
      <c r="AQ22" s="61"/>
      <c r="AR22" s="61">
        <f>AO22/AO$25*AR$25</f>
        <v>0.95775862068965545</v>
      </c>
      <c r="AS22" s="63"/>
      <c r="AT22" s="48"/>
      <c r="AU22" s="48"/>
      <c r="AV22" s="48"/>
      <c r="AW22" s="48"/>
      <c r="AX22" s="49"/>
    </row>
    <row r="23" spans="16:50" x14ac:dyDescent="0.3">
      <c r="P23" s="51" t="s">
        <v>170</v>
      </c>
      <c r="Q23" s="51" t="s">
        <v>171</v>
      </c>
      <c r="R23" s="51" t="s">
        <v>172</v>
      </c>
      <c r="S23" s="51" t="s">
        <v>173</v>
      </c>
      <c r="T23" s="51" t="s">
        <v>174</v>
      </c>
      <c r="U23" s="51" t="s">
        <v>175</v>
      </c>
      <c r="V23" s="73" t="s">
        <v>176</v>
      </c>
      <c r="AA23" s="58" t="s">
        <v>15</v>
      </c>
      <c r="AB23" s="58" t="s">
        <v>46</v>
      </c>
      <c r="AC23" s="58">
        <v>216</v>
      </c>
      <c r="AD23" s="58">
        <v>54</v>
      </c>
      <c r="AE23" s="59">
        <v>117.57789535567332</v>
      </c>
      <c r="AF23" s="58">
        <v>216</v>
      </c>
      <c r="AG23" s="58">
        <v>54</v>
      </c>
      <c r="AH23" s="59">
        <v>117.57789535567332</v>
      </c>
      <c r="AI23" s="60"/>
      <c r="AJ23" s="59"/>
      <c r="AK23" s="59"/>
      <c r="AL23" s="59"/>
      <c r="AM23" s="62"/>
      <c r="AN23" s="62"/>
      <c r="AO23" s="61">
        <v>1.02</v>
      </c>
      <c r="AP23" s="61"/>
      <c r="AQ23" s="61"/>
      <c r="AR23" s="61">
        <f>AO23/AO$25*AR$25</f>
        <v>0.97691379310344861</v>
      </c>
      <c r="AS23" s="63" t="s">
        <v>212</v>
      </c>
      <c r="AT23" s="48"/>
      <c r="AU23" s="48"/>
      <c r="AV23" s="48"/>
      <c r="AW23" s="48"/>
      <c r="AX23" s="49"/>
    </row>
    <row r="24" spans="16:50" x14ac:dyDescent="0.3">
      <c r="P24" s="68">
        <f>AA6</f>
        <v>1276.3</v>
      </c>
      <c r="Q24" s="45" t="str">
        <f>AB6</f>
        <v>Q4'22</v>
      </c>
      <c r="R24" s="54">
        <v>44926</v>
      </c>
      <c r="S24" s="55">
        <f>AE6</f>
        <v>120.63492063492065</v>
      </c>
      <c r="T24" s="55">
        <f>AH6</f>
        <v>120.63492063492065</v>
      </c>
      <c r="U24" s="55">
        <f>AR6</f>
        <v>1</v>
      </c>
      <c r="V24" s="72">
        <f>1/AJ6</f>
        <v>2.4E-2</v>
      </c>
      <c r="AA24" s="58" t="s">
        <v>16</v>
      </c>
      <c r="AB24" s="58" t="s">
        <v>56</v>
      </c>
      <c r="AC24" s="58">
        <v>200</v>
      </c>
      <c r="AD24" s="58">
        <v>54</v>
      </c>
      <c r="AE24" s="59">
        <v>136.45224171539962</v>
      </c>
      <c r="AF24" s="58">
        <v>200</v>
      </c>
      <c r="AG24" s="58">
        <v>54</v>
      </c>
      <c r="AH24" s="59">
        <v>136.45224171539962</v>
      </c>
      <c r="AI24" s="60"/>
      <c r="AJ24" s="59">
        <v>43.478260869565219</v>
      </c>
      <c r="AK24" s="59">
        <v>31.25</v>
      </c>
      <c r="AL24" s="59">
        <v>18.867924528301888</v>
      </c>
      <c r="AM24" s="62"/>
      <c r="AN24" s="62"/>
      <c r="AO24" s="61">
        <v>1.1100000000000001</v>
      </c>
      <c r="AP24" s="61"/>
      <c r="AQ24" s="61"/>
      <c r="AR24" s="61">
        <f>AO24/AO$25*AR$25</f>
        <v>1.0631120689655176</v>
      </c>
      <c r="AS24" s="63" t="s">
        <v>213</v>
      </c>
      <c r="AT24" s="48"/>
      <c r="AU24" s="48"/>
      <c r="AV24" s="48"/>
      <c r="AW24" s="48"/>
      <c r="AX24" s="49"/>
    </row>
    <row r="25" spans="16:50" x14ac:dyDescent="0.3">
      <c r="P25" s="68">
        <f>AA6</f>
        <v>1276.3</v>
      </c>
      <c r="Q25" s="45"/>
      <c r="R25" s="54">
        <v>45291</v>
      </c>
      <c r="S25" s="55">
        <f>AE6</f>
        <v>120.63492063492065</v>
      </c>
      <c r="T25" s="55">
        <f>AH6</f>
        <v>120.63492063492065</v>
      </c>
      <c r="U25" s="55">
        <f>AR6</f>
        <v>1</v>
      </c>
      <c r="AA25" s="58" t="s">
        <v>17</v>
      </c>
      <c r="AB25" s="58" t="s">
        <v>37</v>
      </c>
      <c r="AC25" s="58">
        <v>200</v>
      </c>
      <c r="AD25" s="58">
        <v>54</v>
      </c>
      <c r="AE25" s="59">
        <v>136.45224171539962</v>
      </c>
      <c r="AF25" s="58">
        <v>200</v>
      </c>
      <c r="AG25" s="58">
        <v>54</v>
      </c>
      <c r="AH25" s="59">
        <v>136.45224171539962</v>
      </c>
      <c r="AI25" s="60"/>
      <c r="AJ25" s="59">
        <v>43.478260869565219</v>
      </c>
      <c r="AK25" s="59">
        <v>31.25</v>
      </c>
      <c r="AL25" s="59">
        <v>18.867924528301888</v>
      </c>
      <c r="AM25" s="62"/>
      <c r="AN25" s="62"/>
      <c r="AO25" s="61">
        <v>1.1599999999999999</v>
      </c>
      <c r="AP25" s="61"/>
      <c r="AQ25" s="61">
        <v>1.01</v>
      </c>
      <c r="AR25" s="61">
        <f>AQ25/AQ16*AR16</f>
        <v>1.1110000000000002</v>
      </c>
      <c r="AS25" s="63" t="s">
        <v>214</v>
      </c>
    </row>
    <row r="26" spans="16:50" x14ac:dyDescent="0.3">
      <c r="P26" s="68">
        <f>AA7</f>
        <v>1276.4000000000001</v>
      </c>
      <c r="Q26" s="45" t="str">
        <f>AB7</f>
        <v>Q4'23</v>
      </c>
      <c r="R26" s="54">
        <v>45291</v>
      </c>
      <c r="S26" s="55">
        <f>AE7</f>
        <v>130.15873015873018</v>
      </c>
      <c r="T26" s="55">
        <f>AH7</f>
        <v>130.15873015873018</v>
      </c>
      <c r="U26" s="55">
        <f>AR8</f>
        <v>1.21</v>
      </c>
      <c r="V26" s="72">
        <f>1/AJ7</f>
        <v>2.4E-2</v>
      </c>
      <c r="AA26" s="58" t="s">
        <v>18</v>
      </c>
      <c r="AB26" s="58" t="s">
        <v>48</v>
      </c>
      <c r="AC26" s="58">
        <v>200</v>
      </c>
      <c r="AD26" s="58">
        <v>54</v>
      </c>
      <c r="AE26" s="59">
        <v>136.45224171539962</v>
      </c>
      <c r="AF26" s="58">
        <v>200</v>
      </c>
      <c r="AG26" s="58">
        <v>54</v>
      </c>
      <c r="AH26" s="59">
        <v>136.45224171539962</v>
      </c>
      <c r="AI26" s="60"/>
      <c r="AJ26" s="59">
        <v>43.478260869565219</v>
      </c>
      <c r="AK26" s="59">
        <v>31.25</v>
      </c>
      <c r="AL26" s="59">
        <v>18.867924528301888</v>
      </c>
      <c r="AM26" s="62"/>
      <c r="AN26" s="62"/>
      <c r="AO26" s="61">
        <v>1.25</v>
      </c>
      <c r="AP26" s="61"/>
      <c r="AQ26" s="61"/>
      <c r="AR26" s="61">
        <f>AO26/AO$25*AR$25</f>
        <v>1.1971982758620694</v>
      </c>
      <c r="AS26" s="63" t="s">
        <v>215</v>
      </c>
    </row>
    <row r="27" spans="16:50" x14ac:dyDescent="0.3">
      <c r="P27" s="68">
        <f>AA7</f>
        <v>1276.4000000000001</v>
      </c>
      <c r="Q27" s="45"/>
      <c r="R27" s="54">
        <v>45382</v>
      </c>
      <c r="S27" s="55">
        <f>AE7</f>
        <v>130.15873015873018</v>
      </c>
      <c r="T27" s="55">
        <f>AH7</f>
        <v>130.15873015873018</v>
      </c>
      <c r="U27" s="55">
        <f>AR8</f>
        <v>1.21</v>
      </c>
      <c r="AA27" s="58" t="s">
        <v>19</v>
      </c>
      <c r="AB27" s="58" t="s">
        <v>57</v>
      </c>
      <c r="AC27" s="58">
        <v>148</v>
      </c>
      <c r="AD27" s="58">
        <v>48</v>
      </c>
      <c r="AE27" s="59">
        <v>202.70270270270268</v>
      </c>
      <c r="AF27" s="58">
        <v>168</v>
      </c>
      <c r="AG27" s="58">
        <v>48</v>
      </c>
      <c r="AH27" s="59">
        <v>178.57142857142856</v>
      </c>
      <c r="AI27" s="60" t="s">
        <v>216</v>
      </c>
      <c r="AJ27" s="59">
        <v>55.555555555555557</v>
      </c>
      <c r="AK27" s="59">
        <v>45.45454545454546</v>
      </c>
      <c r="AL27" s="59"/>
      <c r="AM27" s="62"/>
      <c r="AN27" s="62"/>
      <c r="AO27" s="61">
        <v>1.33</v>
      </c>
      <c r="AP27" s="61"/>
      <c r="AQ27" s="61"/>
      <c r="AR27" s="61">
        <f>AO27/AO$25*AR$25</f>
        <v>1.2738189655172418</v>
      </c>
      <c r="AS27" s="63" t="s">
        <v>217</v>
      </c>
    </row>
    <row r="28" spans="16:50" x14ac:dyDescent="0.3">
      <c r="P28" s="68">
        <f>AA9</f>
        <v>1278.2</v>
      </c>
      <c r="Q28" s="45" t="str">
        <f>AB9</f>
        <v>Q1'24</v>
      </c>
      <c r="R28" s="54">
        <v>45382</v>
      </c>
      <c r="S28" s="55">
        <f>AE9</f>
        <v>175.95555555555509</v>
      </c>
      <c r="T28" s="55">
        <f>AH9</f>
        <v>175.95555555555509</v>
      </c>
      <c r="U28" s="55">
        <f>AR9</f>
        <v>1.3</v>
      </c>
      <c r="V28" s="72">
        <f>1/AJ9</f>
        <v>2.1000000000000001E-2</v>
      </c>
      <c r="AA28" s="70" t="s">
        <v>218</v>
      </c>
    </row>
    <row r="29" spans="16:50" x14ac:dyDescent="0.3">
      <c r="P29" s="68">
        <f>AA9</f>
        <v>1278.2</v>
      </c>
      <c r="Q29" s="45"/>
      <c r="R29" s="54">
        <v>45473</v>
      </c>
      <c r="S29" s="55">
        <f>AE9</f>
        <v>175.95555555555509</v>
      </c>
      <c r="T29" s="55">
        <f>AH9</f>
        <v>175.95555555555509</v>
      </c>
      <c r="U29" s="55">
        <f>AR9</f>
        <v>1.3</v>
      </c>
    </row>
    <row r="30" spans="16:50" x14ac:dyDescent="0.3">
      <c r="P30" s="68">
        <f>AA10</f>
        <v>1278.3</v>
      </c>
      <c r="Q30" s="45" t="str">
        <f>AB10</f>
        <v>Q2'24</v>
      </c>
      <c r="R30" s="54">
        <v>45473</v>
      </c>
      <c r="S30" s="69">
        <f>AE10</f>
        <v>197.95000000000002</v>
      </c>
      <c r="T30" s="69">
        <f>AH10</f>
        <v>197.95000000000002</v>
      </c>
      <c r="U30" s="55">
        <f>AR10</f>
        <v>1.35</v>
      </c>
      <c r="V30" s="72">
        <f>1/AJ10</f>
        <v>1.9E-2</v>
      </c>
    </row>
    <row r="31" spans="16:50" x14ac:dyDescent="0.3">
      <c r="P31" s="68">
        <f>AA10</f>
        <v>1278.3</v>
      </c>
      <c r="Q31" s="45"/>
      <c r="R31" s="54">
        <v>45565</v>
      </c>
      <c r="S31" s="69">
        <f>AE10</f>
        <v>197.95000000000002</v>
      </c>
      <c r="T31" s="69">
        <f>AH10</f>
        <v>197.95000000000002</v>
      </c>
      <c r="U31" s="55">
        <f>AR10</f>
        <v>1.35</v>
      </c>
    </row>
    <row r="32" spans="16:50" x14ac:dyDescent="0.3">
      <c r="P32" s="68">
        <f>AA11</f>
        <v>1278.4000000000001</v>
      </c>
      <c r="Q32" s="45" t="str">
        <f>AB11</f>
        <v>Q3'24</v>
      </c>
      <c r="R32" s="54">
        <v>45565</v>
      </c>
      <c r="S32" s="69">
        <f>AE11</f>
        <v>197.95000000000002</v>
      </c>
      <c r="T32" s="69">
        <f>AH11</f>
        <v>197.95000000000002</v>
      </c>
      <c r="U32" s="55">
        <f>AR11</f>
        <v>1.4000000000000001</v>
      </c>
      <c r="V32" s="72">
        <f>1/AJ11</f>
        <v>1.9E-2</v>
      </c>
    </row>
    <row r="33" spans="16:22" x14ac:dyDescent="0.3">
      <c r="P33" s="68">
        <f>AA11</f>
        <v>1278.4000000000001</v>
      </c>
      <c r="Q33" s="45"/>
      <c r="R33" s="54">
        <v>45838</v>
      </c>
      <c r="S33" s="69">
        <f>AE11</f>
        <v>197.95000000000002</v>
      </c>
      <c r="T33" s="69">
        <f>AH11</f>
        <v>197.95000000000002</v>
      </c>
      <c r="U33" s="55">
        <f>AR11</f>
        <v>1.4000000000000001</v>
      </c>
    </row>
    <row r="34" spans="16:22" x14ac:dyDescent="0.3">
      <c r="P34" s="68">
        <f>AA12</f>
        <v>1278.5999999999999</v>
      </c>
      <c r="Q34" s="45" t="str">
        <f>AB12</f>
        <v>Q2'25</v>
      </c>
      <c r="R34" s="54">
        <v>45838</v>
      </c>
      <c r="S34" s="55">
        <f>AE12</f>
        <v>229.10879629629625</v>
      </c>
      <c r="T34" s="55">
        <f>AH12</f>
        <v>214.23160173160176</v>
      </c>
      <c r="U34" s="55">
        <f>AR12</f>
        <v>1.4300000000000002</v>
      </c>
      <c r="V34" s="72">
        <f>1/AJ12</f>
        <v>1.7100000000000001E-2</v>
      </c>
    </row>
    <row r="35" spans="16:22" x14ac:dyDescent="0.3">
      <c r="P35" s="68">
        <f>AA12</f>
        <v>1278.5999999999999</v>
      </c>
      <c r="Q35" s="45"/>
      <c r="R35" s="54">
        <v>46233</v>
      </c>
      <c r="S35" s="55">
        <f>AE12</f>
        <v>229.10879629629625</v>
      </c>
      <c r="T35" s="55">
        <f>AH12</f>
        <v>214.23160173160176</v>
      </c>
      <c r="U35" s="55">
        <f>AR12</f>
        <v>1.4300000000000002</v>
      </c>
    </row>
    <row r="37" spans="16:22" x14ac:dyDescent="0.3">
      <c r="P37" s="51" t="s">
        <v>170</v>
      </c>
      <c r="Q37" s="51" t="s">
        <v>171</v>
      </c>
      <c r="R37" s="51" t="s">
        <v>172</v>
      </c>
      <c r="S37" s="51" t="s">
        <v>173</v>
      </c>
      <c r="T37" s="51" t="s">
        <v>174</v>
      </c>
      <c r="U37" s="51" t="s">
        <v>175</v>
      </c>
      <c r="V37" s="73" t="s">
        <v>176</v>
      </c>
    </row>
    <row r="38" spans="16:22" x14ac:dyDescent="0.3">
      <c r="P38" s="71" t="s">
        <v>219</v>
      </c>
      <c r="Q38" s="51" t="s">
        <v>29</v>
      </c>
      <c r="R38" s="51"/>
      <c r="S38" s="51"/>
      <c r="T38" s="51"/>
      <c r="U38" s="51"/>
      <c r="V38" s="72">
        <v>2.6200000000000001E-2</v>
      </c>
    </row>
    <row r="39" spans="16:22" x14ac:dyDescent="0.3">
      <c r="P39" s="71" t="s">
        <v>219</v>
      </c>
      <c r="Q39" s="51"/>
      <c r="R39" s="51"/>
      <c r="S39" s="51"/>
      <c r="T39" s="51"/>
      <c r="U39" s="51"/>
    </row>
    <row r="40" spans="16:22" x14ac:dyDescent="0.3">
      <c r="P40" s="71" t="s">
        <v>220</v>
      </c>
      <c r="Q40" s="51"/>
      <c r="R40" s="51"/>
      <c r="S40" s="51"/>
      <c r="T40" s="51"/>
      <c r="U40" s="51"/>
    </row>
    <row r="41" spans="16:22" x14ac:dyDescent="0.3">
      <c r="P41" s="71" t="s">
        <v>220</v>
      </c>
      <c r="Q41" s="51"/>
      <c r="R41" s="51"/>
      <c r="S41" s="51"/>
      <c r="T41" s="51"/>
      <c r="U41" s="51"/>
    </row>
    <row r="42" spans="16:22" x14ac:dyDescent="0.3">
      <c r="P42" s="71" t="str">
        <f>AA22</f>
        <v>5LPE</v>
      </c>
      <c r="Q42" s="45" t="str">
        <f>AB22</f>
        <v>Q3'20</v>
      </c>
      <c r="R42" s="54">
        <v>44104</v>
      </c>
      <c r="S42" s="55">
        <f>AE22</f>
        <v>117.57789535567332</v>
      </c>
      <c r="T42" s="55">
        <f>AH22</f>
        <v>117.57789535567332</v>
      </c>
      <c r="U42" s="55">
        <f>AR22</f>
        <v>0.95775862068965545</v>
      </c>
    </row>
    <row r="43" spans="16:22" x14ac:dyDescent="0.3">
      <c r="P43" s="71" t="str">
        <f>AA22</f>
        <v>5LPE</v>
      </c>
      <c r="Q43" s="45"/>
      <c r="R43" s="54">
        <v>44469</v>
      </c>
      <c r="S43" s="55">
        <f>AE22</f>
        <v>117.57789535567332</v>
      </c>
      <c r="T43" s="55">
        <f>AH22</f>
        <v>117.57789535567332</v>
      </c>
      <c r="U43" s="55">
        <f>AR22</f>
        <v>0.95775862068965545</v>
      </c>
    </row>
    <row r="44" spans="16:22" x14ac:dyDescent="0.3">
      <c r="P44" s="71" t="str">
        <f>AA23</f>
        <v>5LPP</v>
      </c>
      <c r="Q44" s="45" t="str">
        <f>AB23</f>
        <v>Q3'21</v>
      </c>
      <c r="R44" s="54">
        <v>44469</v>
      </c>
      <c r="S44" s="55">
        <f>AE23</f>
        <v>117.57789535567332</v>
      </c>
      <c r="T44" s="55">
        <f>AH23</f>
        <v>117.57789535567332</v>
      </c>
      <c r="U44" s="55">
        <f>AR23</f>
        <v>0.97691379310344861</v>
      </c>
    </row>
    <row r="45" spans="16:22" x14ac:dyDescent="0.3">
      <c r="P45" s="71" t="str">
        <f>AA23</f>
        <v>5LPP</v>
      </c>
      <c r="Q45" s="45"/>
      <c r="R45" s="54">
        <v>44561</v>
      </c>
      <c r="S45" s="55">
        <f>AE23</f>
        <v>117.57789535567332</v>
      </c>
      <c r="T45" s="55">
        <f>AH23</f>
        <v>117.57789535567332</v>
      </c>
      <c r="U45" s="55">
        <f>AR23</f>
        <v>0.97691379310344861</v>
      </c>
    </row>
    <row r="46" spans="16:22" x14ac:dyDescent="0.3">
      <c r="P46" s="71" t="str">
        <f>AA24</f>
        <v>4LPE</v>
      </c>
      <c r="Q46" s="45" t="str">
        <f>AB24</f>
        <v>Q4'21</v>
      </c>
      <c r="R46" s="54">
        <v>44561</v>
      </c>
      <c r="S46" s="55">
        <f>AE24</f>
        <v>136.45224171539962</v>
      </c>
      <c r="T46" s="55">
        <f>AH24</f>
        <v>136.45224171539962</v>
      </c>
      <c r="U46" s="55">
        <f>AR24</f>
        <v>1.0631120689655176</v>
      </c>
      <c r="V46" s="72">
        <f>1/AJ24</f>
        <v>2.3E-2</v>
      </c>
    </row>
    <row r="47" spans="16:22" x14ac:dyDescent="0.3">
      <c r="P47" s="71" t="str">
        <f>AA24</f>
        <v>4LPE</v>
      </c>
      <c r="Q47" s="45"/>
      <c r="R47" s="54">
        <v>44926</v>
      </c>
      <c r="S47" s="55">
        <f>AE24</f>
        <v>136.45224171539962</v>
      </c>
      <c r="T47" s="55">
        <f>AH24</f>
        <v>136.45224171539962</v>
      </c>
      <c r="U47" s="55">
        <f>AR24</f>
        <v>1.0631120689655176</v>
      </c>
    </row>
    <row r="48" spans="16:22" x14ac:dyDescent="0.3">
      <c r="P48" s="71" t="str">
        <f>AA25</f>
        <v>4LPP</v>
      </c>
      <c r="Q48" s="45" t="str">
        <f>AB25</f>
        <v>Q4'22</v>
      </c>
      <c r="R48" s="54">
        <v>44926</v>
      </c>
      <c r="S48" s="69">
        <f>AE25</f>
        <v>136.45224171539962</v>
      </c>
      <c r="T48" s="69">
        <f>AH25</f>
        <v>136.45224171539962</v>
      </c>
      <c r="U48" s="55">
        <f>AR25</f>
        <v>1.1110000000000002</v>
      </c>
      <c r="V48" s="72">
        <f>1/AJ25</f>
        <v>2.3E-2</v>
      </c>
    </row>
    <row r="49" spans="16:22" x14ac:dyDescent="0.3">
      <c r="P49" s="71" t="str">
        <f>AA25</f>
        <v>4LPP</v>
      </c>
      <c r="Q49" s="45"/>
      <c r="R49" s="54">
        <v>44834</v>
      </c>
      <c r="S49" s="69">
        <f>AE25</f>
        <v>136.45224171539962</v>
      </c>
      <c r="T49" s="69">
        <f>AH25</f>
        <v>136.45224171539962</v>
      </c>
      <c r="U49" s="55">
        <f>AR25</f>
        <v>1.1110000000000002</v>
      </c>
    </row>
    <row r="50" spans="16:22" x14ac:dyDescent="0.3">
      <c r="P50" s="71" t="str">
        <f>AA26</f>
        <v>3GAE+</v>
      </c>
      <c r="Q50" s="45" t="str">
        <f>AB26</f>
        <v>Q3'22</v>
      </c>
      <c r="R50" s="54">
        <v>44834</v>
      </c>
      <c r="S50" s="69">
        <f>AE26</f>
        <v>136.45224171539962</v>
      </c>
      <c r="T50" s="69">
        <f>AH26</f>
        <v>136.45224171539962</v>
      </c>
      <c r="U50" s="55">
        <f>AR26</f>
        <v>1.1971982758620694</v>
      </c>
      <c r="V50" s="72">
        <f>1/AJ26</f>
        <v>2.3E-2</v>
      </c>
    </row>
    <row r="51" spans="16:22" x14ac:dyDescent="0.3">
      <c r="P51" s="71" t="str">
        <f>AA26</f>
        <v>3GAE+</v>
      </c>
      <c r="Q51" s="45"/>
      <c r="R51" s="54">
        <v>45199</v>
      </c>
      <c r="S51" s="69">
        <f>AE26</f>
        <v>136.45224171539962</v>
      </c>
      <c r="T51" s="69">
        <f>AH26</f>
        <v>136.45224171539962</v>
      </c>
      <c r="U51" s="55">
        <f>AR26</f>
        <v>1.1971982758620694</v>
      </c>
    </row>
    <row r="52" spans="16:22" x14ac:dyDescent="0.3">
      <c r="P52" s="71" t="str">
        <f>AA27</f>
        <v>3GAP</v>
      </c>
      <c r="Q52" s="45" t="str">
        <f>AB27</f>
        <v>Q3'23</v>
      </c>
      <c r="R52" s="54">
        <v>45199</v>
      </c>
      <c r="S52" s="55">
        <f>AE27</f>
        <v>202.70270270270268</v>
      </c>
      <c r="T52" s="55">
        <f>AH27</f>
        <v>178.57142857142856</v>
      </c>
      <c r="U52" s="55">
        <f>AR27</f>
        <v>1.2738189655172418</v>
      </c>
      <c r="V52" s="72">
        <f>1/AJ27</f>
        <v>1.7999999999999999E-2</v>
      </c>
    </row>
    <row r="53" spans="16:22" x14ac:dyDescent="0.3">
      <c r="P53" s="71" t="str">
        <f>AA27</f>
        <v>3GAP</v>
      </c>
      <c r="Q53" s="45"/>
      <c r="R53" s="54">
        <v>45565</v>
      </c>
      <c r="S53" s="55">
        <f>AE27</f>
        <v>202.70270270270268</v>
      </c>
      <c r="T53" s="55">
        <f>AH27</f>
        <v>178.57142857142856</v>
      </c>
      <c r="U53" s="55">
        <f>AR27</f>
        <v>1.2738189655172418</v>
      </c>
    </row>
  </sheetData>
  <mergeCells count="9">
    <mergeCell ref="AS4:AS5"/>
    <mergeCell ref="P1:T1"/>
    <mergeCell ref="AA4:AA5"/>
    <mergeCell ref="AB4:AB5"/>
    <mergeCell ref="AC4:AE4"/>
    <mergeCell ref="AF4:AH4"/>
    <mergeCell ref="AI4:AI5"/>
    <mergeCell ref="AJ4:AL4"/>
    <mergeCell ref="AM4:AR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01A61-D7CB-094A-86BB-EF1241F3D9A9}">
  <dimension ref="A1:E27"/>
  <sheetViews>
    <sheetView topLeftCell="A4" zoomScale="130" zoomScaleNormal="130" workbookViewId="0">
      <selection activeCell="E9" sqref="A9:E9"/>
    </sheetView>
  </sheetViews>
  <sheetFormatPr baseColWidth="10" defaultColWidth="10.83203125" defaultRowHeight="17" x14ac:dyDescent="0.2"/>
  <cols>
    <col min="1" max="1" width="18.1640625" style="88" bestFit="1" customWidth="1"/>
    <col min="2" max="2" width="12.83203125" style="88" bestFit="1" customWidth="1"/>
    <col min="3" max="3" width="9.5" style="88" bestFit="1" customWidth="1"/>
    <col min="4" max="4" width="18.1640625" style="89" customWidth="1"/>
    <col min="5" max="5" width="14.83203125" style="76" customWidth="1"/>
    <col min="6" max="16384" width="10.83203125" style="81"/>
  </cols>
  <sheetData>
    <row r="1" spans="1:5" ht="72" x14ac:dyDescent="0.2">
      <c r="A1" s="77" t="s">
        <v>221</v>
      </c>
      <c r="B1" s="90" t="s">
        <v>222</v>
      </c>
      <c r="C1" s="77" t="s">
        <v>171</v>
      </c>
      <c r="D1" s="80" t="s">
        <v>223</v>
      </c>
      <c r="E1" s="90" t="s">
        <v>224</v>
      </c>
    </row>
    <row r="2" spans="1:5" x14ac:dyDescent="0.2">
      <c r="A2" s="82" t="s">
        <v>5</v>
      </c>
      <c r="B2" s="82">
        <v>7</v>
      </c>
      <c r="C2" s="76" t="s">
        <v>54</v>
      </c>
      <c r="D2" s="83">
        <v>0.95652173913043492</v>
      </c>
      <c r="E2" s="102">
        <v>2.7359999999999999E-2</v>
      </c>
    </row>
    <row r="3" spans="1:5" x14ac:dyDescent="0.2">
      <c r="A3" s="82" t="s">
        <v>6</v>
      </c>
      <c r="B3" s="82">
        <v>7</v>
      </c>
      <c r="C3" s="76" t="s">
        <v>29</v>
      </c>
      <c r="D3" s="83">
        <v>0.98521739130434793</v>
      </c>
      <c r="E3" s="102">
        <v>2.7359999999999999E-2</v>
      </c>
    </row>
    <row r="4" spans="1:5" x14ac:dyDescent="0.2">
      <c r="A4" s="82" t="s">
        <v>7</v>
      </c>
      <c r="B4" s="82">
        <v>7</v>
      </c>
      <c r="C4" s="76" t="s">
        <v>55</v>
      </c>
      <c r="D4" s="83">
        <v>0.98521739130434793</v>
      </c>
      <c r="E4" s="102">
        <v>2.7359999999999999E-2</v>
      </c>
    </row>
    <row r="5" spans="1:5" ht="18" x14ac:dyDescent="0.2">
      <c r="A5" s="84" t="s">
        <v>8</v>
      </c>
      <c r="B5" s="84">
        <v>5</v>
      </c>
      <c r="C5" s="76" t="s">
        <v>44</v>
      </c>
      <c r="D5" s="83">
        <v>1.1000000000000001</v>
      </c>
      <c r="E5" s="102">
        <v>2.1420000000000002E-2</v>
      </c>
    </row>
    <row r="6" spans="1:5" x14ac:dyDescent="0.2">
      <c r="A6" s="82" t="s">
        <v>9</v>
      </c>
      <c r="B6" s="82">
        <v>5</v>
      </c>
      <c r="C6" s="76" t="s">
        <v>56</v>
      </c>
      <c r="D6" s="83">
        <v>1.1000000000000001</v>
      </c>
      <c r="E6" s="102">
        <v>2.0571768000000001E-2</v>
      </c>
    </row>
    <row r="7" spans="1:5" x14ac:dyDescent="0.2">
      <c r="A7" s="82" t="s">
        <v>10</v>
      </c>
      <c r="B7" s="82">
        <v>4</v>
      </c>
      <c r="C7" s="76" t="s">
        <v>37</v>
      </c>
      <c r="D7" s="83">
        <v>1.1660000000000001</v>
      </c>
      <c r="E7" s="102">
        <v>2.00574738E-2</v>
      </c>
    </row>
    <row r="8" spans="1:5" x14ac:dyDescent="0.2">
      <c r="A8" s="82" t="s">
        <v>11</v>
      </c>
      <c r="B8" s="82">
        <v>4</v>
      </c>
      <c r="C8" s="76" t="s">
        <v>37</v>
      </c>
      <c r="D8" s="83">
        <v>1.2375</v>
      </c>
      <c r="E8" s="102">
        <v>2.1513024000000002E-2</v>
      </c>
    </row>
    <row r="9" spans="1:5" x14ac:dyDescent="0.2">
      <c r="A9" s="82" t="s">
        <v>12</v>
      </c>
      <c r="B9" s="82">
        <v>3</v>
      </c>
      <c r="C9" s="76" t="s">
        <v>39</v>
      </c>
      <c r="D9" s="83">
        <v>1.2993750000000002</v>
      </c>
      <c r="E9" s="102">
        <v>2.1215999999999999E-2</v>
      </c>
    </row>
    <row r="10" spans="1:5" x14ac:dyDescent="0.2">
      <c r="A10" s="82" t="s">
        <v>13</v>
      </c>
      <c r="B10" s="82">
        <v>2</v>
      </c>
      <c r="C10" s="100" t="s">
        <v>53</v>
      </c>
      <c r="D10" s="101">
        <v>1.3921875000000001</v>
      </c>
      <c r="E10" s="100">
        <v>1.8800000000000001E-2</v>
      </c>
    </row>
    <row r="11" spans="1:5" s="94" customFormat="1" ht="4" customHeight="1" x14ac:dyDescent="0.2">
      <c r="A11" s="91"/>
      <c r="B11" s="91"/>
      <c r="C11" s="91"/>
      <c r="D11" s="92"/>
      <c r="E11" s="93"/>
    </row>
    <row r="12" spans="1:5" x14ac:dyDescent="0.2">
      <c r="A12" s="86" t="s">
        <v>225</v>
      </c>
      <c r="B12" s="86">
        <v>7</v>
      </c>
      <c r="C12" s="76" t="s">
        <v>37</v>
      </c>
      <c r="D12" s="83">
        <v>1</v>
      </c>
      <c r="E12" s="102">
        <v>2.4E-2</v>
      </c>
    </row>
    <row r="13" spans="1:5" x14ac:dyDescent="0.2">
      <c r="A13" s="86" t="s">
        <v>226</v>
      </c>
      <c r="B13" s="86">
        <v>4</v>
      </c>
      <c r="C13" s="76" t="s">
        <v>39</v>
      </c>
      <c r="D13" s="83">
        <v>1.1499999999999999</v>
      </c>
      <c r="E13" s="102">
        <v>2.4E-2</v>
      </c>
    </row>
    <row r="14" spans="1:5" x14ac:dyDescent="0.2">
      <c r="A14" s="86" t="s">
        <v>227</v>
      </c>
      <c r="B14" s="86">
        <v>3</v>
      </c>
      <c r="C14" s="76" t="s">
        <v>52</v>
      </c>
      <c r="D14" s="83">
        <v>1.3</v>
      </c>
      <c r="E14" s="102">
        <v>2.1000000000000001E-2</v>
      </c>
    </row>
    <row r="15" spans="1:5" x14ac:dyDescent="0.2">
      <c r="A15" s="86" t="s">
        <v>228</v>
      </c>
      <c r="B15" s="86">
        <v>3</v>
      </c>
      <c r="C15" s="76" t="s">
        <v>47</v>
      </c>
      <c r="D15" s="83">
        <v>1.35</v>
      </c>
      <c r="E15" s="102">
        <v>2.1000000000000001E-2</v>
      </c>
    </row>
    <row r="16" spans="1:5" x14ac:dyDescent="0.2">
      <c r="A16" s="86">
        <v>1278.4000000000001</v>
      </c>
      <c r="B16" s="86">
        <v>2</v>
      </c>
      <c r="C16" s="76" t="s">
        <v>40</v>
      </c>
      <c r="D16" s="83">
        <v>1.4</v>
      </c>
      <c r="E16" s="102">
        <v>0.02</v>
      </c>
    </row>
    <row r="17" spans="1:5" x14ac:dyDescent="0.2">
      <c r="A17" s="86">
        <v>1278.5999999999999</v>
      </c>
      <c r="B17" s="86">
        <v>2</v>
      </c>
      <c r="C17" s="76" t="s">
        <v>53</v>
      </c>
      <c r="D17" s="83">
        <v>1.43</v>
      </c>
      <c r="E17" s="102">
        <v>1.7999999999999999E-2</v>
      </c>
    </row>
    <row r="18" spans="1:5" s="94" customFormat="1" ht="4" customHeight="1" x14ac:dyDescent="0.2">
      <c r="A18" s="91"/>
      <c r="B18" s="91"/>
      <c r="C18" s="91"/>
      <c r="D18" s="92"/>
      <c r="E18" s="93"/>
    </row>
    <row r="19" spans="1:5" x14ac:dyDescent="0.2">
      <c r="A19" s="87" t="s">
        <v>219</v>
      </c>
      <c r="B19" s="87">
        <v>7</v>
      </c>
      <c r="C19" s="76" t="s">
        <v>29</v>
      </c>
      <c r="D19" s="83">
        <v>0.86284560422491474</v>
      </c>
      <c r="E19" s="95">
        <v>2.6200000000000001E-2</v>
      </c>
    </row>
    <row r="20" spans="1:5" x14ac:dyDescent="0.2">
      <c r="A20" s="87" t="s">
        <v>220</v>
      </c>
      <c r="B20" s="87">
        <v>7</v>
      </c>
      <c r="C20" s="77"/>
      <c r="D20" s="85">
        <f>AVERAGE(D19,D21)</f>
        <v>0.9103021124572851</v>
      </c>
      <c r="E20" s="95">
        <v>2.6200000000000001E-2</v>
      </c>
    </row>
    <row r="21" spans="1:5" x14ac:dyDescent="0.2">
      <c r="A21" s="87" t="s">
        <v>14</v>
      </c>
      <c r="B21" s="87">
        <v>7</v>
      </c>
      <c r="C21" s="76" t="s">
        <v>41</v>
      </c>
      <c r="D21" s="83">
        <v>0.95775862068965545</v>
      </c>
      <c r="E21" s="95">
        <v>2.6200000000000001E-2</v>
      </c>
    </row>
    <row r="22" spans="1:5" x14ac:dyDescent="0.2">
      <c r="A22" s="87" t="s">
        <v>15</v>
      </c>
      <c r="B22" s="87">
        <v>7</v>
      </c>
      <c r="C22" s="76" t="s">
        <v>46</v>
      </c>
      <c r="D22" s="83">
        <v>0.97691379310344861</v>
      </c>
      <c r="E22" s="95">
        <v>2.6200000000000001E-2</v>
      </c>
    </row>
    <row r="23" spans="1:5" x14ac:dyDescent="0.2">
      <c r="A23" s="87" t="s">
        <v>16</v>
      </c>
      <c r="B23" s="87">
        <v>5</v>
      </c>
      <c r="C23" s="76" t="s">
        <v>56</v>
      </c>
      <c r="D23" s="83">
        <v>1.0631120689655176</v>
      </c>
      <c r="E23" s="76">
        <v>2.3300000000000001E-2</v>
      </c>
    </row>
    <row r="24" spans="1:5" x14ac:dyDescent="0.2">
      <c r="A24" s="87" t="s">
        <v>17</v>
      </c>
      <c r="B24" s="87">
        <v>5</v>
      </c>
      <c r="C24" s="76" t="s">
        <v>37</v>
      </c>
      <c r="D24" s="83">
        <v>1.1110000000000002</v>
      </c>
      <c r="E24" s="76">
        <v>2.3300000000000001E-2</v>
      </c>
    </row>
    <row r="25" spans="1:5" x14ac:dyDescent="0.2">
      <c r="A25" s="87" t="s">
        <v>18</v>
      </c>
      <c r="B25" s="87">
        <v>4</v>
      </c>
      <c r="C25" s="76" t="s">
        <v>48</v>
      </c>
      <c r="D25" s="83">
        <v>1.1971982758620694</v>
      </c>
      <c r="E25" s="76">
        <v>2.3300000000000001E-2</v>
      </c>
    </row>
    <row r="26" spans="1:5" x14ac:dyDescent="0.2">
      <c r="A26" s="87" t="s">
        <v>19</v>
      </c>
      <c r="B26" s="87">
        <v>3</v>
      </c>
      <c r="C26" s="76" t="s">
        <v>57</v>
      </c>
      <c r="D26" s="83">
        <v>1.2738189655172418</v>
      </c>
      <c r="E26" s="76">
        <v>1.84E-2</v>
      </c>
    </row>
    <row r="27" spans="1:5" s="94" customFormat="1" ht="4" customHeight="1" x14ac:dyDescent="0.2">
      <c r="A27" s="91"/>
      <c r="B27" s="91"/>
      <c r="C27" s="91"/>
      <c r="D27" s="92"/>
      <c r="E27" s="93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E2CEE-68D9-A642-98DC-C9750F9FDC44}">
  <dimension ref="A1:AA51"/>
  <sheetViews>
    <sheetView tabSelected="1" zoomScale="120" zoomScaleNormal="120" workbookViewId="0">
      <selection activeCell="F11" sqref="F11"/>
    </sheetView>
  </sheetViews>
  <sheetFormatPr baseColWidth="10" defaultColWidth="10.83203125" defaultRowHeight="17" x14ac:dyDescent="0.2"/>
  <cols>
    <col min="1" max="1" width="18.1640625" style="88" bestFit="1" customWidth="1"/>
    <col min="2" max="2" width="12.83203125" style="88" bestFit="1" customWidth="1"/>
    <col min="3" max="3" width="9.5" style="88" bestFit="1" customWidth="1"/>
    <col min="4" max="4" width="18.1640625" style="89" customWidth="1"/>
    <col min="5" max="5" width="14.83203125" style="76" customWidth="1"/>
    <col min="6" max="6" width="10.83203125" style="103"/>
    <col min="7" max="7" width="10.83203125" style="81"/>
    <col min="8" max="8" width="13.33203125" style="89" customWidth="1"/>
    <col min="9" max="10" width="13.33203125" style="103" customWidth="1"/>
    <col min="11" max="11" width="13.33203125" style="81" customWidth="1"/>
    <col min="12" max="15" width="10.83203125" style="81"/>
    <col min="16" max="18" width="10.83203125" style="103"/>
    <col min="19" max="16384" width="10.83203125" style="81"/>
  </cols>
  <sheetData>
    <row r="1" spans="1:19" ht="72" x14ac:dyDescent="0.2">
      <c r="A1" s="77" t="s">
        <v>221</v>
      </c>
      <c r="B1" s="90" t="s">
        <v>222</v>
      </c>
      <c r="C1" s="77" t="s">
        <v>171</v>
      </c>
      <c r="D1" s="80" t="s">
        <v>223</v>
      </c>
      <c r="E1" s="90" t="s">
        <v>224</v>
      </c>
      <c r="F1" s="109" t="s">
        <v>229</v>
      </c>
      <c r="H1" s="80" t="s">
        <v>230</v>
      </c>
      <c r="I1" s="90" t="s">
        <v>231</v>
      </c>
      <c r="J1" s="115" t="s">
        <v>232</v>
      </c>
      <c r="K1" s="2" t="s">
        <v>233</v>
      </c>
      <c r="P1" s="81"/>
      <c r="S1" s="103"/>
    </row>
    <row r="2" spans="1:19" x14ac:dyDescent="0.2">
      <c r="A2" s="82" t="s">
        <v>5</v>
      </c>
      <c r="B2" s="82">
        <v>7</v>
      </c>
      <c r="C2" s="76" t="s">
        <v>54</v>
      </c>
      <c r="D2" s="83">
        <v>0.95652173913043492</v>
      </c>
      <c r="E2" s="78">
        <v>2.7359999999999999E-2</v>
      </c>
      <c r="H2" s="83">
        <f t="shared" ref="H2:I9" si="0">D2/D$4</f>
        <v>0.970873786407767</v>
      </c>
      <c r="I2" s="83">
        <f t="shared" si="0"/>
        <v>1</v>
      </c>
      <c r="K2" s="103"/>
      <c r="P2" s="81"/>
      <c r="S2" s="103"/>
    </row>
    <row r="3" spans="1:19" x14ac:dyDescent="0.2">
      <c r="A3" s="82" t="s">
        <v>6</v>
      </c>
      <c r="B3" s="82">
        <v>7</v>
      </c>
      <c r="C3" s="76" t="s">
        <v>29</v>
      </c>
      <c r="D3" s="83">
        <v>0.98521739130434793</v>
      </c>
      <c r="E3" s="76">
        <v>2.7359999999999999E-2</v>
      </c>
      <c r="H3" s="83">
        <f t="shared" si="0"/>
        <v>1</v>
      </c>
      <c r="I3" s="83">
        <f t="shared" si="0"/>
        <v>1</v>
      </c>
      <c r="K3" s="103"/>
      <c r="P3" s="81"/>
      <c r="S3" s="103"/>
    </row>
    <row r="4" spans="1:19" x14ac:dyDescent="0.2">
      <c r="A4" s="82" t="s">
        <v>7</v>
      </c>
      <c r="B4" s="82">
        <v>7</v>
      </c>
      <c r="C4" s="76" t="s">
        <v>55</v>
      </c>
      <c r="D4" s="83">
        <v>0.98521739130434793</v>
      </c>
      <c r="E4" s="76">
        <v>2.7359999999999999E-2</v>
      </c>
      <c r="F4" s="111">
        <v>9320.997137634231</v>
      </c>
      <c r="G4" s="110">
        <f>F4*E4</f>
        <v>255.02248168567255</v>
      </c>
      <c r="H4" s="83">
        <f t="shared" si="0"/>
        <v>1</v>
      </c>
      <c r="I4" s="83">
        <f t="shared" si="0"/>
        <v>1</v>
      </c>
      <c r="J4" s="114">
        <f>G4/G$4</f>
        <v>1</v>
      </c>
      <c r="K4" s="114">
        <f>F4/F$4</f>
        <v>1</v>
      </c>
      <c r="P4" s="81"/>
      <c r="S4" s="103"/>
    </row>
    <row r="5" spans="1:19" ht="18" x14ac:dyDescent="0.2">
      <c r="A5" s="84" t="s">
        <v>8</v>
      </c>
      <c r="B5" s="84">
        <v>5</v>
      </c>
      <c r="C5" s="76" t="s">
        <v>44</v>
      </c>
      <c r="D5" s="83">
        <v>1.1000000000000001</v>
      </c>
      <c r="E5" s="76">
        <v>2.1420000000000002E-2</v>
      </c>
      <c r="F5" s="111">
        <v>13081.089040494233</v>
      </c>
      <c r="G5" s="110">
        <f>F5*E5</f>
        <v>280.1969272473865</v>
      </c>
      <c r="H5" s="83">
        <f t="shared" si="0"/>
        <v>1.116504854368932</v>
      </c>
      <c r="I5" s="83">
        <f t="shared" si="0"/>
        <v>0.78289473684210531</v>
      </c>
      <c r="J5" s="114">
        <f>G5/G$4</f>
        <v>1.0987146129051582</v>
      </c>
      <c r="K5" s="114">
        <f>F5/F$4</f>
        <v>1.4034001778284371</v>
      </c>
      <c r="P5" s="81"/>
      <c r="S5" s="103"/>
    </row>
    <row r="6" spans="1:19" x14ac:dyDescent="0.2">
      <c r="A6" s="82" t="s">
        <v>9</v>
      </c>
      <c r="B6" s="82">
        <v>5</v>
      </c>
      <c r="C6" s="76" t="s">
        <v>56</v>
      </c>
      <c r="D6" s="83">
        <v>1.1000000000000001</v>
      </c>
      <c r="E6" s="78">
        <v>2.0571768000000001E-2</v>
      </c>
      <c r="F6" s="81"/>
      <c r="H6" s="83">
        <f t="shared" si="0"/>
        <v>1.116504854368932</v>
      </c>
      <c r="I6" s="83">
        <f t="shared" si="0"/>
        <v>0.75189210526315797</v>
      </c>
      <c r="K6" s="103"/>
      <c r="P6" s="81"/>
      <c r="S6" s="103"/>
    </row>
    <row r="7" spans="1:19" x14ac:dyDescent="0.2">
      <c r="A7" s="82" t="s">
        <v>10</v>
      </c>
      <c r="B7" s="82">
        <v>4</v>
      </c>
      <c r="C7" s="76" t="s">
        <v>37</v>
      </c>
      <c r="D7" s="83">
        <v>1.1660000000000001</v>
      </c>
      <c r="E7" s="78">
        <v>2.00574738E-2</v>
      </c>
      <c r="F7" s="111">
        <f>F4*1.43</f>
        <v>13329.025906816949</v>
      </c>
      <c r="G7" s="110">
        <f>F7*E7</f>
        <v>267.34658790550219</v>
      </c>
      <c r="H7" s="83">
        <f t="shared" si="0"/>
        <v>1.1834951456310681</v>
      </c>
      <c r="I7" s="83">
        <f t="shared" si="0"/>
        <v>0.733094802631579</v>
      </c>
      <c r="J7" s="114">
        <f>G7/G$4</f>
        <v>1.0483255677631578</v>
      </c>
      <c r="K7" s="114">
        <f>F7/F$4</f>
        <v>1.43</v>
      </c>
      <c r="P7" s="81"/>
      <c r="S7" s="103"/>
    </row>
    <row r="8" spans="1:19" x14ac:dyDescent="0.2">
      <c r="A8" s="82" t="s">
        <v>11</v>
      </c>
      <c r="B8" s="82">
        <v>4</v>
      </c>
      <c r="C8" s="76" t="s">
        <v>37</v>
      </c>
      <c r="D8" s="83">
        <v>1.2375</v>
      </c>
      <c r="E8" s="78">
        <v>2.1513024000000002E-2</v>
      </c>
      <c r="H8" s="83">
        <f t="shared" si="0"/>
        <v>1.2560679611650485</v>
      </c>
      <c r="I8" s="83">
        <f t="shared" si="0"/>
        <v>0.78629473684210538</v>
      </c>
      <c r="K8" s="114"/>
      <c r="P8" s="81"/>
      <c r="S8" s="103"/>
    </row>
    <row r="9" spans="1:19" x14ac:dyDescent="0.2">
      <c r="A9" s="82" t="s">
        <v>12</v>
      </c>
      <c r="B9" s="82">
        <v>3</v>
      </c>
      <c r="C9" s="76" t="s">
        <v>39</v>
      </c>
      <c r="D9" s="83">
        <v>1.2993750000000002</v>
      </c>
      <c r="E9" s="78">
        <v>2.1215999999999999E-2</v>
      </c>
      <c r="F9" s="111">
        <v>18351.279642537469</v>
      </c>
      <c r="G9" s="110">
        <f>F9*E9</f>
        <v>389.3407488960749</v>
      </c>
      <c r="H9" s="83">
        <f t="shared" si="0"/>
        <v>1.318871359223301</v>
      </c>
      <c r="I9" s="83">
        <f t="shared" si="0"/>
        <v>0.77543859649122804</v>
      </c>
      <c r="J9" s="114">
        <f>G9/G$4</f>
        <v>1.5266918678015065</v>
      </c>
      <c r="K9" s="114">
        <f>F9/F$4</f>
        <v>1.9688107797440244</v>
      </c>
      <c r="P9" s="81"/>
      <c r="S9" s="103"/>
    </row>
    <row r="10" spans="1:19" s="94" customFormat="1" x14ac:dyDescent="0.2">
      <c r="A10" s="91"/>
      <c r="B10" s="91"/>
      <c r="C10" s="91"/>
      <c r="D10" s="92"/>
      <c r="E10" s="93"/>
      <c r="F10" s="104"/>
      <c r="H10" s="92"/>
      <c r="I10" s="93"/>
      <c r="J10" s="104"/>
      <c r="K10" s="104"/>
      <c r="Q10" s="104"/>
      <c r="R10" s="104"/>
      <c r="S10" s="104"/>
    </row>
    <row r="11" spans="1:19" x14ac:dyDescent="0.2">
      <c r="A11" s="86" t="s">
        <v>225</v>
      </c>
      <c r="B11" s="86">
        <v>7</v>
      </c>
      <c r="C11" s="76" t="s">
        <v>37</v>
      </c>
      <c r="D11" s="83">
        <v>1</v>
      </c>
      <c r="E11" s="76">
        <v>2.4E-2</v>
      </c>
      <c r="F11" s="113">
        <f>F4*1.05</f>
        <v>9787.0469945159421</v>
      </c>
      <c r="G11" s="110">
        <f>F11*E11</f>
        <v>234.88912786838262</v>
      </c>
      <c r="H11" s="83">
        <f t="shared" ref="H11:H16" si="1">D11/D$4</f>
        <v>1.0150044130626654</v>
      </c>
      <c r="I11" s="83">
        <f t="shared" ref="I11:I16" si="2">E11/E$4</f>
        <v>0.87719298245614041</v>
      </c>
      <c r="J11" s="114">
        <f>G11/G$4</f>
        <v>0.92105263157894746</v>
      </c>
      <c r="K11" s="114">
        <f>F11/F$4</f>
        <v>1.05</v>
      </c>
      <c r="P11" s="81"/>
      <c r="S11" s="103"/>
    </row>
    <row r="12" spans="1:19" x14ac:dyDescent="0.2">
      <c r="A12" s="86" t="s">
        <v>226</v>
      </c>
      <c r="B12" s="86">
        <v>4</v>
      </c>
      <c r="C12" s="76" t="s">
        <v>39</v>
      </c>
      <c r="D12" s="83">
        <v>1.1499999999999999</v>
      </c>
      <c r="E12" s="76">
        <v>2.4E-2</v>
      </c>
      <c r="H12" s="83">
        <f t="shared" si="1"/>
        <v>1.1672550750220652</v>
      </c>
      <c r="I12" s="83">
        <f t="shared" si="2"/>
        <v>0.87719298245614041</v>
      </c>
      <c r="K12" s="103"/>
      <c r="P12" s="81"/>
      <c r="S12" s="103"/>
    </row>
    <row r="13" spans="1:19" x14ac:dyDescent="0.2">
      <c r="A13" s="86" t="s">
        <v>227</v>
      </c>
      <c r="B13" s="86">
        <v>3</v>
      </c>
      <c r="C13" s="76" t="s">
        <v>52</v>
      </c>
      <c r="D13" s="83">
        <v>1.3</v>
      </c>
      <c r="E13" s="76">
        <v>2.1000000000000001E-2</v>
      </c>
      <c r="H13" s="83">
        <f t="shared" si="1"/>
        <v>1.3195057369814651</v>
      </c>
      <c r="I13" s="83">
        <f t="shared" si="2"/>
        <v>0.76754385964912286</v>
      </c>
      <c r="K13" s="103"/>
      <c r="P13" s="81"/>
      <c r="S13" s="103"/>
    </row>
    <row r="14" spans="1:19" x14ac:dyDescent="0.2">
      <c r="A14" s="86" t="s">
        <v>228</v>
      </c>
      <c r="B14" s="86">
        <v>3</v>
      </c>
      <c r="C14" s="76" t="s">
        <v>47</v>
      </c>
      <c r="D14" s="83">
        <v>1.35</v>
      </c>
      <c r="E14" s="76">
        <v>1.9E-2</v>
      </c>
      <c r="H14" s="83">
        <f t="shared" si="1"/>
        <v>1.3702559576345983</v>
      </c>
      <c r="I14" s="83">
        <f t="shared" si="2"/>
        <v>0.69444444444444442</v>
      </c>
      <c r="K14" s="103"/>
      <c r="P14" s="81"/>
      <c r="S14" s="103"/>
    </row>
    <row r="15" spans="1:19" x14ac:dyDescent="0.2">
      <c r="A15" s="86">
        <v>1278.4000000000001</v>
      </c>
      <c r="B15" s="86">
        <v>2</v>
      </c>
      <c r="C15" s="76" t="s">
        <v>40</v>
      </c>
      <c r="D15" s="83">
        <v>1.4</v>
      </c>
      <c r="E15" s="76">
        <v>1.9E-2</v>
      </c>
      <c r="H15" s="83">
        <f t="shared" si="1"/>
        <v>1.4210061782877315</v>
      </c>
      <c r="I15" s="83">
        <f t="shared" si="2"/>
        <v>0.69444444444444442</v>
      </c>
      <c r="K15" s="103"/>
      <c r="P15" s="81"/>
      <c r="S15" s="103"/>
    </row>
    <row r="16" spans="1:19" x14ac:dyDescent="0.2">
      <c r="A16" s="86">
        <v>1278.5999999999999</v>
      </c>
      <c r="B16" s="86">
        <v>2</v>
      </c>
      <c r="C16" s="76" t="s">
        <v>53</v>
      </c>
      <c r="D16" s="83">
        <v>1.43</v>
      </c>
      <c r="E16" s="79">
        <v>1.7100000000000001E-2</v>
      </c>
      <c r="H16" s="83">
        <f t="shared" si="1"/>
        <v>1.4514563106796114</v>
      </c>
      <c r="I16" s="83">
        <f t="shared" si="2"/>
        <v>0.625</v>
      </c>
      <c r="K16" s="103"/>
      <c r="P16" s="81"/>
      <c r="S16" s="103"/>
    </row>
    <row r="17" spans="1:27" s="94" customFormat="1" x14ac:dyDescent="0.2">
      <c r="A17" s="91"/>
      <c r="B17" s="91"/>
      <c r="C17" s="91"/>
      <c r="D17" s="92"/>
      <c r="E17" s="93"/>
      <c r="F17" s="104"/>
      <c r="H17" s="92"/>
      <c r="I17" s="93"/>
      <c r="J17" s="104"/>
      <c r="K17" s="104"/>
      <c r="Q17" s="104"/>
      <c r="R17" s="104"/>
      <c r="S17" s="104"/>
    </row>
    <row r="18" spans="1:27" x14ac:dyDescent="0.2">
      <c r="A18" s="87" t="s">
        <v>219</v>
      </c>
      <c r="B18" s="87"/>
      <c r="C18" s="76" t="s">
        <v>29</v>
      </c>
      <c r="D18" s="83">
        <v>0.96</v>
      </c>
      <c r="E18" s="95">
        <v>2.6200000000000001E-2</v>
      </c>
      <c r="H18" s="83">
        <f t="shared" ref="H18:H23" si="3">D18/D$4</f>
        <v>0.97440423654015873</v>
      </c>
      <c r="I18" s="83">
        <f t="shared" ref="I18:I23" si="4">E18/E$4</f>
        <v>0.95760233918128668</v>
      </c>
      <c r="K18" s="103"/>
      <c r="P18" s="81"/>
      <c r="S18" s="103"/>
    </row>
    <row r="19" spans="1:27" x14ac:dyDescent="0.2">
      <c r="A19" s="87" t="s">
        <v>14</v>
      </c>
      <c r="B19" s="87">
        <v>7</v>
      </c>
      <c r="C19" s="76" t="s">
        <v>41</v>
      </c>
      <c r="D19" s="83">
        <v>0.95775862068965545</v>
      </c>
      <c r="E19" s="95">
        <v>2.6200000000000001E-2</v>
      </c>
      <c r="H19" s="83">
        <f t="shared" si="3"/>
        <v>0.97212922664881174</v>
      </c>
      <c r="I19" s="83">
        <f t="shared" si="4"/>
        <v>0.95760233918128668</v>
      </c>
      <c r="K19" s="103"/>
      <c r="L19" s="81" t="s">
        <v>234</v>
      </c>
      <c r="N19" s="103" t="s">
        <v>235</v>
      </c>
      <c r="P19" s="81"/>
      <c r="Q19" s="81"/>
      <c r="R19" s="81"/>
      <c r="T19" s="103"/>
      <c r="U19" s="103"/>
      <c r="V19" s="103"/>
    </row>
    <row r="20" spans="1:27" x14ac:dyDescent="0.2">
      <c r="A20" s="87" t="s">
        <v>15</v>
      </c>
      <c r="B20" s="87">
        <v>7</v>
      </c>
      <c r="C20" s="76" t="s">
        <v>46</v>
      </c>
      <c r="D20" s="83">
        <v>0.97691379310344861</v>
      </c>
      <c r="E20" s="95">
        <v>2.6200000000000001E-2</v>
      </c>
      <c r="F20" s="111">
        <v>8059.8510403712871</v>
      </c>
      <c r="G20" s="110">
        <f>F20*E20</f>
        <v>211.16809725772774</v>
      </c>
      <c r="H20" s="83">
        <f t="shared" si="3"/>
        <v>0.99157181118178794</v>
      </c>
      <c r="I20" s="83">
        <f t="shared" si="4"/>
        <v>0.95760233918128668</v>
      </c>
      <c r="J20" s="114">
        <f>G20/G$4</f>
        <v>0.82803718269043647</v>
      </c>
      <c r="K20" s="114">
        <f>F20/F$4</f>
        <v>0.86469837093169233</v>
      </c>
      <c r="L20" s="81">
        <f>1000000/E20/8/2^20</f>
        <v>4.5499728836176052</v>
      </c>
      <c r="N20" s="103">
        <v>0.5</v>
      </c>
      <c r="O20" s="81">
        <f>L20*N20</f>
        <v>2.2749864418088026</v>
      </c>
      <c r="P20" s="81"/>
      <c r="Q20" s="81"/>
      <c r="R20" s="81" t="s">
        <v>236</v>
      </c>
      <c r="T20" s="103"/>
      <c r="U20" s="103"/>
      <c r="V20" s="103"/>
    </row>
    <row r="21" spans="1:27" x14ac:dyDescent="0.2">
      <c r="A21" s="87" t="s">
        <v>16</v>
      </c>
      <c r="B21" s="87">
        <v>5</v>
      </c>
      <c r="C21" s="76" t="s">
        <v>56</v>
      </c>
      <c r="D21" s="83">
        <v>1.0631120689655176</v>
      </c>
      <c r="E21" s="76">
        <v>2.3E-2</v>
      </c>
      <c r="H21" s="83">
        <f t="shared" si="3"/>
        <v>1.079063441580181</v>
      </c>
      <c r="I21" s="83">
        <f t="shared" si="4"/>
        <v>0.84064327485380119</v>
      </c>
      <c r="K21" s="103"/>
      <c r="L21" s="81">
        <f>1000000/E21/8/2^20</f>
        <v>5.1830125891644023</v>
      </c>
      <c r="N21" s="103">
        <v>0.45</v>
      </c>
      <c r="O21" s="81">
        <f>L21*N21</f>
        <v>2.332355665123981</v>
      </c>
      <c r="P21" s="81"/>
      <c r="Q21" s="81"/>
      <c r="R21" s="81" t="s">
        <v>237</v>
      </c>
      <c r="S21" s="94" t="s">
        <v>238</v>
      </c>
      <c r="T21" s="104" t="s">
        <v>239</v>
      </c>
      <c r="U21" s="104" t="s">
        <v>240</v>
      </c>
      <c r="V21" s="104" t="s">
        <v>241</v>
      </c>
      <c r="W21" s="94" t="s">
        <v>242</v>
      </c>
    </row>
    <row r="22" spans="1:27" x14ac:dyDescent="0.2">
      <c r="A22" s="87" t="s">
        <v>17</v>
      </c>
      <c r="B22" s="87">
        <v>5</v>
      </c>
      <c r="C22" s="76" t="s">
        <v>37</v>
      </c>
      <c r="D22" s="83">
        <v>1.1110000000000002</v>
      </c>
      <c r="E22" s="76">
        <v>2.3E-2</v>
      </c>
      <c r="F22" s="111">
        <v>11461.054095703736</v>
      </c>
      <c r="G22" s="110">
        <f>F22*E22</f>
        <v>263.60424420118591</v>
      </c>
      <c r="H22" s="83">
        <f t="shared" si="3"/>
        <v>1.1276699029126214</v>
      </c>
      <c r="I22" s="83">
        <f t="shared" si="4"/>
        <v>0.84064327485380119</v>
      </c>
      <c r="J22" s="114">
        <f>G22/G$4</f>
        <v>1.0336510038596942</v>
      </c>
      <c r="K22" s="114">
        <f>F22/F$4</f>
        <v>1.229595281113097</v>
      </c>
      <c r="P22" s="81"/>
      <c r="Q22" s="81"/>
      <c r="R22" s="81"/>
      <c r="S22" s="81" t="s">
        <v>243</v>
      </c>
      <c r="T22" s="103"/>
      <c r="U22" s="103"/>
      <c r="V22" s="103"/>
    </row>
    <row r="23" spans="1:27" x14ac:dyDescent="0.2">
      <c r="A23" s="87" t="s">
        <v>18</v>
      </c>
      <c r="B23" s="87">
        <v>4</v>
      </c>
      <c r="C23" s="76" t="s">
        <v>48</v>
      </c>
      <c r="D23" s="83">
        <v>1.1971982758620694</v>
      </c>
      <c r="E23" s="76">
        <v>2.3E-2</v>
      </c>
      <c r="H23" s="83">
        <f t="shared" si="3"/>
        <v>1.2151615333110146</v>
      </c>
      <c r="I23" s="83">
        <f t="shared" si="4"/>
        <v>0.84064327485380119</v>
      </c>
      <c r="K23" s="103"/>
      <c r="P23" s="81"/>
      <c r="Q23" s="81"/>
      <c r="R23" s="81"/>
      <c r="S23" s="81" t="s">
        <v>244</v>
      </c>
      <c r="T23" s="103"/>
      <c r="U23" s="103" t="s">
        <v>245</v>
      </c>
      <c r="V23" s="103"/>
      <c r="W23" s="81">
        <v>1024</v>
      </c>
      <c r="X23" s="81">
        <v>2.2000000000000002</v>
      </c>
      <c r="Y23" s="81">
        <f>W23/X23</f>
        <v>465.45454545454544</v>
      </c>
      <c r="Z23" s="81">
        <v>64</v>
      </c>
      <c r="AA23" s="81">
        <f>Y23/Z23</f>
        <v>7.2727272727272725</v>
      </c>
    </row>
    <row r="24" spans="1:27" s="94" customFormat="1" x14ac:dyDescent="0.2">
      <c r="A24" s="91"/>
      <c r="B24" s="91"/>
      <c r="C24" s="91"/>
      <c r="D24" s="92"/>
      <c r="E24" s="93"/>
      <c r="F24" s="104"/>
      <c r="H24" s="92"/>
      <c r="I24" s="93"/>
      <c r="J24" s="104"/>
      <c r="K24" s="104"/>
      <c r="Q24" s="104"/>
      <c r="R24" s="104"/>
      <c r="S24" s="104"/>
    </row>
    <row r="26" spans="1:27" x14ac:dyDescent="0.2">
      <c r="C26" s="96"/>
      <c r="D26" s="97"/>
      <c r="E26" s="98"/>
      <c r="F26" s="108"/>
      <c r="G26" s="99"/>
      <c r="H26" s="97"/>
      <c r="I26" s="108"/>
      <c r="J26" s="108"/>
      <c r="K26" s="99"/>
      <c r="L26" s="99"/>
    </row>
    <row r="27" spans="1:27" x14ac:dyDescent="0.2">
      <c r="C27" s="96"/>
      <c r="D27" s="97"/>
      <c r="E27" s="98"/>
      <c r="F27" s="108"/>
      <c r="G27" s="99"/>
      <c r="H27" s="97"/>
      <c r="I27" s="108"/>
      <c r="J27" s="108"/>
      <c r="K27" s="99"/>
      <c r="L27" s="99"/>
    </row>
    <row r="28" spans="1:27" x14ac:dyDescent="0.2">
      <c r="C28" s="96"/>
      <c r="D28" s="97"/>
      <c r="E28" s="98"/>
      <c r="F28" s="108"/>
      <c r="G28" s="99"/>
      <c r="H28" s="97"/>
      <c r="I28" s="108"/>
      <c r="J28" s="108"/>
      <c r="K28" s="99"/>
      <c r="L28" s="99"/>
    </row>
    <row r="29" spans="1:27" x14ac:dyDescent="0.2">
      <c r="C29" s="96"/>
      <c r="D29" s="97"/>
      <c r="E29" s="98"/>
      <c r="F29" s="108"/>
      <c r="G29" s="99"/>
      <c r="H29" s="97"/>
      <c r="I29" s="108"/>
      <c r="J29" s="108"/>
      <c r="K29" s="99"/>
      <c r="L29" s="99"/>
    </row>
    <row r="30" spans="1:27" x14ac:dyDescent="0.2">
      <c r="C30" s="96"/>
      <c r="D30" s="97"/>
      <c r="E30" s="98"/>
      <c r="F30" s="108"/>
      <c r="G30" s="99"/>
      <c r="H30" s="97"/>
      <c r="I30" s="108"/>
      <c r="J30" s="108"/>
      <c r="K30" s="99"/>
      <c r="L30" s="99"/>
    </row>
    <row r="31" spans="1:27" x14ac:dyDescent="0.2">
      <c r="C31" s="96"/>
      <c r="D31" s="97"/>
      <c r="E31" s="98"/>
      <c r="F31" s="108"/>
      <c r="G31" s="99"/>
      <c r="H31" s="97"/>
      <c r="I31" s="108"/>
      <c r="J31" s="108"/>
      <c r="K31" s="99"/>
      <c r="L31" s="99"/>
    </row>
    <row r="32" spans="1:27" x14ac:dyDescent="0.2">
      <c r="C32" s="96"/>
      <c r="D32" s="97"/>
      <c r="E32" s="98"/>
      <c r="F32" s="108"/>
      <c r="G32" s="99"/>
      <c r="H32" s="97"/>
      <c r="I32" s="108"/>
      <c r="J32" s="108"/>
      <c r="K32" s="99"/>
      <c r="L32" s="99"/>
    </row>
    <row r="33" spans="3:20" x14ac:dyDescent="0.2">
      <c r="C33" s="96"/>
      <c r="D33" s="97"/>
      <c r="E33" s="98"/>
      <c r="F33" s="108"/>
      <c r="G33" s="99"/>
      <c r="H33" s="97"/>
      <c r="I33" s="108"/>
      <c r="J33" s="108"/>
      <c r="K33" s="99"/>
      <c r="L33" s="99"/>
    </row>
    <row r="34" spans="3:20" x14ac:dyDescent="0.2">
      <c r="C34" s="96"/>
      <c r="D34" s="97"/>
      <c r="E34" s="98"/>
      <c r="F34" s="108"/>
      <c r="G34" s="99"/>
      <c r="H34" s="97"/>
      <c r="I34" s="108"/>
      <c r="J34" s="108"/>
      <c r="K34" s="99"/>
      <c r="L34" s="99"/>
    </row>
    <row r="35" spans="3:20" x14ac:dyDescent="0.2">
      <c r="C35" s="96"/>
      <c r="D35" s="97"/>
      <c r="E35" s="98"/>
      <c r="F35" s="108"/>
      <c r="G35" s="99"/>
      <c r="H35" s="97"/>
      <c r="I35" s="108"/>
      <c r="J35" s="108"/>
      <c r="K35" s="99"/>
      <c r="L35" s="99"/>
    </row>
    <row r="36" spans="3:20" x14ac:dyDescent="0.2">
      <c r="C36" s="96"/>
      <c r="D36" s="97"/>
      <c r="E36" s="98"/>
      <c r="F36" s="108"/>
      <c r="G36" s="99"/>
      <c r="H36" s="97"/>
      <c r="I36" s="108"/>
      <c r="J36" s="108"/>
      <c r="K36" s="99"/>
      <c r="L36" s="99"/>
    </row>
    <row r="37" spans="3:20" x14ac:dyDescent="0.2">
      <c r="C37" s="96"/>
      <c r="D37" s="97"/>
      <c r="E37" s="98"/>
      <c r="F37" s="108"/>
      <c r="G37" s="99"/>
      <c r="H37" s="97"/>
      <c r="I37" s="108"/>
      <c r="J37" s="108"/>
      <c r="K37" s="99"/>
      <c r="L37" s="99"/>
      <c r="P37" s="103" t="s">
        <v>246</v>
      </c>
      <c r="Q37" s="103" t="s">
        <v>247</v>
      </c>
      <c r="R37" s="103" t="s">
        <v>248</v>
      </c>
      <c r="S37" s="81" t="s">
        <v>249</v>
      </c>
      <c r="T37" s="81" t="s">
        <v>250</v>
      </c>
    </row>
    <row r="38" spans="3:20" x14ac:dyDescent="0.2">
      <c r="C38" s="96"/>
      <c r="D38" s="97"/>
      <c r="E38" s="98"/>
      <c r="F38" s="108"/>
      <c r="G38" s="99"/>
      <c r="H38" s="97"/>
      <c r="I38" s="108"/>
      <c r="J38" s="108"/>
      <c r="K38" s="99"/>
      <c r="L38" s="99"/>
      <c r="O38" s="81" t="s">
        <v>7</v>
      </c>
      <c r="P38" s="103">
        <v>2.7E-2</v>
      </c>
      <c r="Q38" s="105" t="s">
        <v>251</v>
      </c>
      <c r="R38" s="103" t="s">
        <v>252</v>
      </c>
      <c r="S38" s="81" t="s">
        <v>253</v>
      </c>
      <c r="T38" s="81" t="s">
        <v>254</v>
      </c>
    </row>
    <row r="39" spans="3:20" x14ac:dyDescent="0.2">
      <c r="C39" s="96"/>
      <c r="D39" s="97"/>
      <c r="E39" s="98"/>
      <c r="F39" s="108"/>
      <c r="G39" s="99"/>
      <c r="H39" s="97"/>
      <c r="I39" s="108"/>
      <c r="J39" s="108"/>
      <c r="K39" s="99"/>
      <c r="L39" s="99"/>
      <c r="O39" s="81" t="s">
        <v>10</v>
      </c>
      <c r="Q39" s="103" t="s">
        <v>255</v>
      </c>
    </row>
    <row r="40" spans="3:20" x14ac:dyDescent="0.2">
      <c r="C40" s="96"/>
      <c r="D40" s="97"/>
      <c r="E40" s="98"/>
      <c r="F40" s="108"/>
      <c r="G40" s="99"/>
      <c r="H40" s="97"/>
      <c r="I40" s="108"/>
      <c r="J40" s="108"/>
      <c r="K40" s="99"/>
      <c r="L40" s="99"/>
      <c r="O40" s="81" t="s">
        <v>17</v>
      </c>
      <c r="P40" s="103">
        <v>2.3E-2</v>
      </c>
      <c r="Q40" s="106" t="s">
        <v>256</v>
      </c>
      <c r="R40" s="103" t="s">
        <v>257</v>
      </c>
      <c r="S40" s="81" t="s">
        <v>258</v>
      </c>
      <c r="T40" s="81" t="s">
        <v>259</v>
      </c>
    </row>
    <row r="41" spans="3:20" x14ac:dyDescent="0.2">
      <c r="C41" s="96"/>
      <c r="D41" s="97"/>
      <c r="E41" s="98"/>
      <c r="F41" s="108"/>
      <c r="G41" s="99"/>
      <c r="H41" s="97"/>
      <c r="I41" s="108"/>
      <c r="J41" s="108"/>
      <c r="K41" s="99"/>
      <c r="L41" s="99"/>
      <c r="R41" s="107" t="s">
        <v>260</v>
      </c>
    </row>
    <row r="42" spans="3:20" x14ac:dyDescent="0.2">
      <c r="C42" s="96"/>
      <c r="D42" s="97"/>
      <c r="E42" s="98"/>
      <c r="F42" s="108"/>
      <c r="G42" s="99"/>
      <c r="H42" s="97"/>
      <c r="I42" s="108"/>
      <c r="J42" s="108"/>
      <c r="K42" s="99"/>
      <c r="L42" s="99"/>
    </row>
    <row r="43" spans="3:20" x14ac:dyDescent="0.2">
      <c r="C43" s="96"/>
      <c r="D43" s="97"/>
      <c r="E43" s="98"/>
      <c r="F43" s="108"/>
      <c r="G43" s="99"/>
      <c r="H43" s="97"/>
      <c r="I43" s="108"/>
      <c r="J43" s="108"/>
      <c r="K43" s="99"/>
      <c r="L43" s="99"/>
    </row>
    <row r="44" spans="3:20" x14ac:dyDescent="0.2">
      <c r="C44" s="96"/>
      <c r="D44" s="97"/>
      <c r="E44" s="98"/>
      <c r="F44" s="108"/>
      <c r="G44" s="99"/>
      <c r="H44" s="97"/>
      <c r="I44" s="108"/>
      <c r="J44" s="108"/>
      <c r="K44" s="99"/>
      <c r="L44" s="99"/>
    </row>
    <row r="45" spans="3:20" x14ac:dyDescent="0.2">
      <c r="C45" s="96"/>
      <c r="D45" s="97"/>
      <c r="E45" s="98"/>
      <c r="F45" s="108"/>
      <c r="G45" s="99"/>
      <c r="H45" s="97"/>
      <c r="I45" s="108"/>
      <c r="J45" s="108"/>
      <c r="K45" s="99"/>
      <c r="L45" s="99"/>
    </row>
    <row r="46" spans="3:20" x14ac:dyDescent="0.2">
      <c r="C46" s="96"/>
      <c r="D46" s="97"/>
      <c r="E46" s="98"/>
      <c r="F46" s="108"/>
      <c r="G46" s="99"/>
      <c r="H46" s="97"/>
      <c r="I46" s="108"/>
      <c r="J46" s="108"/>
      <c r="K46" s="99"/>
      <c r="L46" s="99"/>
    </row>
    <row r="47" spans="3:20" x14ac:dyDescent="0.2">
      <c r="C47" s="96"/>
      <c r="D47" s="97"/>
      <c r="E47" s="98"/>
      <c r="F47" s="108"/>
      <c r="G47" s="99"/>
      <c r="H47" s="97"/>
      <c r="I47" s="108"/>
      <c r="J47" s="108"/>
      <c r="K47" s="99"/>
      <c r="L47" s="99"/>
    </row>
    <row r="48" spans="3:20" x14ac:dyDescent="0.2">
      <c r="C48" s="96"/>
      <c r="D48" s="97"/>
      <c r="E48" s="98"/>
      <c r="F48" s="108"/>
      <c r="G48" s="99"/>
      <c r="H48" s="97"/>
      <c r="I48" s="108"/>
      <c r="J48" s="108"/>
      <c r="K48" s="99"/>
      <c r="L48" s="99"/>
    </row>
    <row r="49" spans="3:12" x14ac:dyDescent="0.2">
      <c r="C49" s="96"/>
      <c r="D49" s="97"/>
      <c r="E49" s="98"/>
      <c r="F49" s="108"/>
      <c r="G49" s="99"/>
      <c r="H49" s="97"/>
      <c r="I49" s="108"/>
      <c r="J49" s="108"/>
      <c r="K49" s="99"/>
      <c r="L49" s="99"/>
    </row>
    <row r="50" spans="3:12" x14ac:dyDescent="0.2">
      <c r="C50" s="96"/>
      <c r="D50" s="97"/>
      <c r="E50" s="98"/>
      <c r="F50" s="108"/>
      <c r="G50" s="99"/>
      <c r="H50" s="97"/>
      <c r="I50" s="108"/>
      <c r="J50" s="108"/>
      <c r="K50" s="99"/>
      <c r="L50" s="99"/>
    </row>
    <row r="51" spans="3:12" x14ac:dyDescent="0.2">
      <c r="C51" s="96"/>
      <c r="D51" s="97"/>
      <c r="E51" s="98"/>
      <c r="F51" s="108"/>
      <c r="G51" s="99"/>
      <c r="H51" s="97"/>
      <c r="I51" s="108"/>
      <c r="J51" s="108"/>
      <c r="K51" s="99"/>
      <c r="L51" s="99"/>
    </row>
  </sheetData>
  <conditionalFormatting sqref="F4:F5 F7">
    <cfRule type="expression" dxfId="6" priority="3" stopIfTrue="1">
      <formula>ISERROR(F4)=TRUE</formula>
    </cfRule>
  </conditionalFormatting>
  <conditionalFormatting sqref="F9">
    <cfRule type="expression" dxfId="5" priority="2" stopIfTrue="1">
      <formula>ISERROR(F9)=TRUE</formula>
    </cfRule>
  </conditionalFormatting>
  <conditionalFormatting sqref="F20">
    <cfRule type="expression" dxfId="4" priority="1" stopIfTrue="1">
      <formula>ISERROR(F20)=TRUE</formula>
    </cfRule>
  </conditionalFormatting>
  <conditionalFormatting sqref="F22">
    <cfRule type="expression" dxfId="3" priority="5" stopIfTrue="1">
      <formula>ISERROR(F22)=TRUE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47C5B-BCB1-C146-8E96-CC0CD6D1EDC8}">
  <dimension ref="A1:AB84"/>
  <sheetViews>
    <sheetView topLeftCell="A43" zoomScale="110" zoomScaleNormal="110" workbookViewId="0">
      <selection sqref="A1:XFD1048576"/>
    </sheetView>
  </sheetViews>
  <sheetFormatPr baseColWidth="10" defaultColWidth="10.83203125" defaultRowHeight="17" x14ac:dyDescent="0.2"/>
  <cols>
    <col min="1" max="1" width="18.1640625" style="88" bestFit="1" customWidth="1"/>
    <col min="2" max="2" width="12.83203125" style="88" bestFit="1" customWidth="1"/>
    <col min="3" max="3" width="9.5" style="88" bestFit="1" customWidth="1"/>
    <col min="4" max="4" width="18.1640625" style="89" customWidth="1"/>
    <col min="5" max="5" width="14.83203125" style="76" customWidth="1"/>
    <col min="6" max="6" width="10.83203125" style="103" customWidth="1"/>
    <col min="7" max="7" width="10.83203125" style="81"/>
    <col min="8" max="8" width="12.6640625" style="103" customWidth="1"/>
    <col min="9" max="9" width="12.1640625" style="103" customWidth="1"/>
    <col min="10" max="10" width="11.6640625" style="2" customWidth="1"/>
    <col min="11" max="11" width="13.33203125" style="89" customWidth="1"/>
    <col min="12" max="12" width="13.33203125" style="103" customWidth="1"/>
    <col min="13" max="13" width="13.33203125" style="81" customWidth="1"/>
    <col min="14" max="16" width="10.83203125" style="81"/>
    <col min="17" max="17" width="13.33203125" style="103" customWidth="1"/>
    <col min="18" max="20" width="10.83203125" style="81"/>
    <col min="21" max="22" width="13.1640625" style="81" customWidth="1"/>
    <col min="23" max="24" width="10.83203125" style="103"/>
    <col min="25" max="26" width="10.83203125" style="81"/>
    <col min="27" max="27" width="31.83203125" style="81" bestFit="1" customWidth="1"/>
    <col min="28" max="16384" width="10.83203125" style="81"/>
  </cols>
  <sheetData>
    <row r="1" spans="1:28" ht="80" x14ac:dyDescent="0.2">
      <c r="A1" s="77" t="s">
        <v>221</v>
      </c>
      <c r="B1" s="90" t="s">
        <v>222</v>
      </c>
      <c r="C1" s="77" t="s">
        <v>171</v>
      </c>
      <c r="D1" s="80" t="s">
        <v>223</v>
      </c>
      <c r="E1" s="90" t="s">
        <v>224</v>
      </c>
      <c r="F1" s="109" t="s">
        <v>229</v>
      </c>
      <c r="H1" s="126" t="s">
        <v>261</v>
      </c>
      <c r="I1" s="126" t="s">
        <v>262</v>
      </c>
      <c r="J1" s="115" t="s">
        <v>263</v>
      </c>
      <c r="K1" s="115" t="s">
        <v>229</v>
      </c>
      <c r="L1" s="90" t="s">
        <v>264</v>
      </c>
      <c r="M1" s="115" t="s">
        <v>265</v>
      </c>
      <c r="N1" s="115" t="s">
        <v>266</v>
      </c>
      <c r="O1" s="115" t="s">
        <v>267</v>
      </c>
      <c r="P1" s="115" t="s">
        <v>268</v>
      </c>
      <c r="Q1" s="80" t="s">
        <v>269</v>
      </c>
      <c r="T1" s="126" t="s">
        <v>270</v>
      </c>
      <c r="U1" s="126" t="s">
        <v>261</v>
      </c>
      <c r="V1" s="126" t="s">
        <v>262</v>
      </c>
      <c r="W1" s="81"/>
    </row>
    <row r="2" spans="1:28" x14ac:dyDescent="0.2">
      <c r="A2" s="86" t="s">
        <v>271</v>
      </c>
      <c r="B2" s="86">
        <v>7</v>
      </c>
      <c r="C2" s="76" t="s">
        <v>37</v>
      </c>
      <c r="D2" s="83">
        <v>1.1499999999999999</v>
      </c>
      <c r="E2" s="76">
        <v>2.4E-2</v>
      </c>
      <c r="F2" s="118">
        <f>F3*AB9</f>
        <v>17221.651854295626</v>
      </c>
      <c r="G2" s="110">
        <f t="shared" ref="G2:G7" si="0">F2*E2</f>
        <v>413.31964450309505</v>
      </c>
      <c r="H2" s="124">
        <v>1.1611938479999999</v>
      </c>
      <c r="I2" s="124">
        <v>6.3295832999999996E-2</v>
      </c>
      <c r="J2" s="124">
        <v>1.6850000000000001</v>
      </c>
      <c r="K2" s="123">
        <f t="shared" ref="K2:K7" si="1">F2/F$3</f>
        <v>1.8476190476190475</v>
      </c>
      <c r="L2" s="83">
        <f t="shared" ref="L2:L7" si="2">E2/E$3</f>
        <v>0.87719298245614041</v>
      </c>
      <c r="M2" s="123">
        <f t="shared" ref="M2:M7" si="3">G2/G$3</f>
        <v>1.6207184628237261</v>
      </c>
      <c r="N2" s="120">
        <v>1.473638</v>
      </c>
      <c r="O2" s="120">
        <v>1.090195</v>
      </c>
      <c r="P2" s="120">
        <v>1.8139780000000001</v>
      </c>
      <c r="Q2" s="83">
        <f t="shared" ref="Q2:Q7" si="4">D2/D$3</f>
        <v>1.1672550750220652</v>
      </c>
      <c r="S2" s="119"/>
      <c r="T2" s="124">
        <v>1.6850000000000001</v>
      </c>
      <c r="U2" s="124">
        <v>1.1611938479999999</v>
      </c>
      <c r="V2" s="124">
        <v>6.3295832999999996E-2</v>
      </c>
      <c r="W2" s="81"/>
    </row>
    <row r="3" spans="1:28" x14ac:dyDescent="0.2">
      <c r="A3" s="82" t="s">
        <v>7</v>
      </c>
      <c r="B3" s="82">
        <v>7</v>
      </c>
      <c r="C3" s="76" t="s">
        <v>55</v>
      </c>
      <c r="D3" s="83">
        <v>0.98521739130434793</v>
      </c>
      <c r="E3" s="76">
        <v>2.7359999999999999E-2</v>
      </c>
      <c r="F3" s="117">
        <v>9320.997137634231</v>
      </c>
      <c r="G3" s="110">
        <f t="shared" si="0"/>
        <v>255.02248168567255</v>
      </c>
      <c r="H3" s="124">
        <v>0.64013671900000002</v>
      </c>
      <c r="I3" s="124">
        <v>4.2952083000000002E-2</v>
      </c>
      <c r="J3" s="124">
        <v>1.5455950540000001</v>
      </c>
      <c r="K3" s="123">
        <f t="shared" si="1"/>
        <v>1</v>
      </c>
      <c r="L3" s="83">
        <f t="shared" si="2"/>
        <v>1</v>
      </c>
      <c r="M3" s="123">
        <f t="shared" si="3"/>
        <v>1</v>
      </c>
      <c r="N3" s="120">
        <v>1</v>
      </c>
      <c r="O3" s="120">
        <v>1</v>
      </c>
      <c r="P3" s="120">
        <v>1</v>
      </c>
      <c r="Q3" s="83">
        <f t="shared" si="4"/>
        <v>1</v>
      </c>
      <c r="S3" s="119"/>
      <c r="T3" s="124">
        <v>1.5455950540000001</v>
      </c>
      <c r="U3" s="124">
        <v>0.64013671900000002</v>
      </c>
      <c r="V3" s="124">
        <v>4.2952083000000002E-2</v>
      </c>
      <c r="W3" s="81"/>
      <c r="AA3" s="81" t="s">
        <v>272</v>
      </c>
    </row>
    <row r="4" spans="1:28" ht="18" x14ac:dyDescent="0.2">
      <c r="A4" s="84" t="s">
        <v>8</v>
      </c>
      <c r="B4" s="84">
        <v>5</v>
      </c>
      <c r="C4" s="76" t="s">
        <v>44</v>
      </c>
      <c r="D4" s="83">
        <v>1.1000000000000001</v>
      </c>
      <c r="E4" s="76">
        <v>2.1420000000000002E-2</v>
      </c>
      <c r="F4" s="117">
        <v>13081.089040494233</v>
      </c>
      <c r="G4" s="110">
        <f t="shared" si="0"/>
        <v>280.1969272473865</v>
      </c>
      <c r="H4" s="124">
        <v>0.64868164100000003</v>
      </c>
      <c r="I4" s="124">
        <v>4.0695833000000001E-2</v>
      </c>
      <c r="J4" s="124">
        <v>1.414427157</v>
      </c>
      <c r="K4" s="123">
        <f t="shared" si="1"/>
        <v>1.4034001778284371</v>
      </c>
      <c r="L4" s="83">
        <f t="shared" si="2"/>
        <v>0.78289473684210531</v>
      </c>
      <c r="M4" s="123">
        <f t="shared" si="3"/>
        <v>1.0987146129051582</v>
      </c>
      <c r="N4" s="120">
        <v>0.94747099999999995</v>
      </c>
      <c r="O4" s="120">
        <v>0.915134</v>
      </c>
      <c r="P4" s="120">
        <v>1.0133490000000001</v>
      </c>
      <c r="Q4" s="83">
        <f t="shared" si="4"/>
        <v>1.116504854368932</v>
      </c>
      <c r="T4" s="124">
        <v>1.414427157</v>
      </c>
      <c r="U4" s="124">
        <v>0.64868164100000003</v>
      </c>
      <c r="V4" s="124">
        <v>4.0695833000000001E-2</v>
      </c>
      <c r="W4" s="81"/>
      <c r="AA4" s="81" t="s">
        <v>273</v>
      </c>
      <c r="AB4" s="127">
        <v>9700</v>
      </c>
    </row>
    <row r="5" spans="1:28" x14ac:dyDescent="0.2">
      <c r="A5" s="82" t="s">
        <v>10</v>
      </c>
      <c r="B5" s="82">
        <v>4</v>
      </c>
      <c r="C5" s="76" t="s">
        <v>37</v>
      </c>
      <c r="D5" s="83">
        <v>1.1660000000000001</v>
      </c>
      <c r="E5" s="78">
        <v>2.00574738E-2</v>
      </c>
      <c r="F5" s="117">
        <f>F3*1.43</f>
        <v>13329.025906816949</v>
      </c>
      <c r="G5" s="110">
        <f t="shared" si="0"/>
        <v>267.34658790550219</v>
      </c>
      <c r="H5" s="135">
        <f>H3*P5</f>
        <v>0.66880780250729099</v>
      </c>
      <c r="I5" s="135">
        <f>I3*N5</f>
        <v>4.0695853032092999E-2</v>
      </c>
      <c r="J5" s="135">
        <f>J3*O5</f>
        <v>1.5865131374595962</v>
      </c>
      <c r="K5" s="123">
        <f t="shared" si="1"/>
        <v>1.43</v>
      </c>
      <c r="L5" s="83">
        <f t="shared" si="2"/>
        <v>0.733094802631579</v>
      </c>
      <c r="M5" s="123">
        <f t="shared" si="3"/>
        <v>1.0483255677631578</v>
      </c>
      <c r="N5" s="121">
        <v>0.94747099999999995</v>
      </c>
      <c r="O5" s="121">
        <v>1.0264740000000001</v>
      </c>
      <c r="P5" s="121">
        <v>1.044789</v>
      </c>
      <c r="Q5" s="83">
        <f t="shared" si="4"/>
        <v>1.1834951456310681</v>
      </c>
      <c r="T5" s="125"/>
      <c r="U5" s="125"/>
      <c r="V5" s="125"/>
      <c r="W5" s="81"/>
      <c r="AA5" s="81" t="s">
        <v>274</v>
      </c>
      <c r="AB5" s="128">
        <f>AB4*2</f>
        <v>19400</v>
      </c>
    </row>
    <row r="6" spans="1:28" ht="18" customHeight="1" x14ac:dyDescent="0.2">
      <c r="A6" s="87" t="s">
        <v>275</v>
      </c>
      <c r="B6" s="87">
        <v>7</v>
      </c>
      <c r="C6" s="76" t="s">
        <v>46</v>
      </c>
      <c r="D6" s="83">
        <v>0.97691379310344861</v>
      </c>
      <c r="E6" s="95">
        <v>2.6200000000000001E-2</v>
      </c>
      <c r="F6" s="117">
        <v>8059.8510403712871</v>
      </c>
      <c r="G6" s="110">
        <f t="shared" si="0"/>
        <v>211.16809725772774</v>
      </c>
      <c r="H6" s="135">
        <f>H3*P6</f>
        <v>1.2836232734505271</v>
      </c>
      <c r="I6" s="135">
        <f>I3*N6</f>
        <v>4.5900013312538998E-2</v>
      </c>
      <c r="J6" s="135">
        <f>J3*O6</f>
        <v>1.243343122024922</v>
      </c>
      <c r="K6" s="123">
        <f t="shared" si="1"/>
        <v>0.86469837093169233</v>
      </c>
      <c r="L6" s="83">
        <f t="shared" si="2"/>
        <v>0.95760233918128668</v>
      </c>
      <c r="M6" s="123">
        <f t="shared" si="3"/>
        <v>0.82803718269043647</v>
      </c>
      <c r="N6" s="121">
        <v>1.0686329999999999</v>
      </c>
      <c r="O6" s="121">
        <v>0.80444300000000002</v>
      </c>
      <c r="P6" s="121">
        <v>2.005233</v>
      </c>
      <c r="Q6" s="83">
        <f t="shared" si="4"/>
        <v>0.99157181118178794</v>
      </c>
      <c r="T6" s="125"/>
      <c r="U6" s="125"/>
      <c r="V6" s="125"/>
      <c r="W6" s="81"/>
      <c r="X6" s="81"/>
      <c r="AA6" s="103"/>
    </row>
    <row r="7" spans="1:28" ht="20" customHeight="1" x14ac:dyDescent="0.2">
      <c r="A7" s="87" t="s">
        <v>276</v>
      </c>
      <c r="B7" s="87">
        <v>5</v>
      </c>
      <c r="C7" s="76" t="s">
        <v>37</v>
      </c>
      <c r="D7" s="83">
        <v>1.1110000000000002</v>
      </c>
      <c r="E7" s="76">
        <v>2.3E-2</v>
      </c>
      <c r="F7" s="117">
        <v>11461.054095703736</v>
      </c>
      <c r="G7" s="110">
        <f t="shared" si="0"/>
        <v>263.60424420118591</v>
      </c>
      <c r="H7" s="124">
        <v>1.072998047</v>
      </c>
      <c r="I7" s="124">
        <v>4.0739583000000003E-2</v>
      </c>
      <c r="J7" s="124">
        <v>1.308900524</v>
      </c>
      <c r="K7" s="123">
        <f t="shared" si="1"/>
        <v>1.229595281113097</v>
      </c>
      <c r="L7" s="83">
        <f t="shared" si="2"/>
        <v>0.84064327485380119</v>
      </c>
      <c r="M7" s="123">
        <f t="shared" si="3"/>
        <v>1.0336510038596942</v>
      </c>
      <c r="N7" s="120">
        <v>0.94848900000000003</v>
      </c>
      <c r="O7" s="120">
        <v>0.84685900000000003</v>
      </c>
      <c r="P7" s="120">
        <v>1.6762010000000001</v>
      </c>
      <c r="Q7" s="83">
        <f t="shared" si="4"/>
        <v>1.1276699029126214</v>
      </c>
      <c r="T7" s="124">
        <v>1.308900524</v>
      </c>
      <c r="U7" s="124">
        <v>1.072998047</v>
      </c>
      <c r="V7" s="124">
        <v>4.0739583000000003E-2</v>
      </c>
      <c r="W7" s="81"/>
      <c r="X7" s="81"/>
    </row>
    <row r="8" spans="1:28" x14ac:dyDescent="0.2">
      <c r="AA8" s="119" t="s">
        <v>277</v>
      </c>
      <c r="AB8" s="128">
        <v>10500</v>
      </c>
    </row>
    <row r="9" spans="1:28" x14ac:dyDescent="0.2">
      <c r="A9" s="96"/>
      <c r="B9" s="96"/>
      <c r="C9" s="96"/>
      <c r="D9" s="96"/>
      <c r="E9" s="96"/>
      <c r="F9" s="96"/>
      <c r="G9" s="96"/>
      <c r="H9" s="98"/>
      <c r="I9" s="98"/>
      <c r="J9" s="122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9"/>
      <c r="W9" s="108"/>
      <c r="AA9" s="81" t="s">
        <v>278</v>
      </c>
      <c r="AB9" s="112">
        <f>19.4/10.5</f>
        <v>1.8476190476190475</v>
      </c>
    </row>
    <row r="10" spans="1:28" x14ac:dyDescent="0.2">
      <c r="A10" s="96"/>
      <c r="B10" s="96"/>
      <c r="C10" s="96"/>
      <c r="D10" s="96"/>
      <c r="E10" s="96"/>
      <c r="F10" s="96"/>
      <c r="G10" s="96"/>
      <c r="H10" s="98"/>
      <c r="I10" s="98"/>
      <c r="J10" s="122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9"/>
      <c r="W10" s="108"/>
    </row>
    <row r="11" spans="1:28" x14ac:dyDescent="0.2">
      <c r="A11" s="96"/>
      <c r="B11" s="96"/>
      <c r="C11" s="96"/>
      <c r="D11" s="96"/>
      <c r="E11" s="96"/>
      <c r="F11" s="96"/>
      <c r="G11" s="96"/>
      <c r="H11" s="98"/>
      <c r="I11" s="98"/>
      <c r="J11" s="122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9"/>
      <c r="W11" s="108"/>
    </row>
    <row r="12" spans="1:28" x14ac:dyDescent="0.2">
      <c r="A12" s="96"/>
      <c r="B12" s="96"/>
      <c r="C12" s="96"/>
      <c r="D12" s="96"/>
      <c r="E12" s="96"/>
      <c r="F12" s="96"/>
      <c r="G12" s="96"/>
      <c r="H12" s="98"/>
      <c r="I12" s="98"/>
      <c r="J12" s="122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9"/>
      <c r="W12" s="108"/>
    </row>
    <row r="13" spans="1:28" x14ac:dyDescent="0.2">
      <c r="A13" s="96"/>
      <c r="B13" s="96"/>
      <c r="C13" s="96"/>
      <c r="D13" s="96"/>
      <c r="E13" s="96"/>
      <c r="F13" s="96"/>
      <c r="G13" s="96"/>
      <c r="H13" s="98"/>
      <c r="I13" s="98"/>
      <c r="J13" s="122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9"/>
      <c r="W13" s="108"/>
    </row>
    <row r="14" spans="1:28" x14ac:dyDescent="0.2">
      <c r="A14" s="96"/>
      <c r="B14" s="96"/>
      <c r="C14" s="96"/>
      <c r="D14" s="96"/>
      <c r="E14" s="96"/>
      <c r="F14" s="96"/>
      <c r="G14" s="96"/>
      <c r="H14" s="98"/>
      <c r="I14" s="98"/>
      <c r="J14" s="122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9"/>
      <c r="W14" s="108"/>
    </row>
    <row r="15" spans="1:28" x14ac:dyDescent="0.2">
      <c r="A15" s="96"/>
      <c r="B15" s="96"/>
      <c r="C15" s="96"/>
      <c r="D15" s="96"/>
      <c r="E15" s="96"/>
      <c r="F15" s="96"/>
      <c r="G15" s="96"/>
      <c r="H15" s="98"/>
      <c r="I15" s="98"/>
      <c r="J15" s="122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9"/>
      <c r="W15" s="108"/>
    </row>
    <row r="16" spans="1:28" x14ac:dyDescent="0.2">
      <c r="A16" s="96"/>
      <c r="B16" s="96"/>
      <c r="C16" s="96"/>
      <c r="D16" s="96"/>
      <c r="E16" s="96"/>
      <c r="F16" s="96"/>
      <c r="G16" s="96"/>
      <c r="H16" s="98"/>
      <c r="I16" s="98"/>
      <c r="J16" s="122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9"/>
      <c r="W16" s="108"/>
    </row>
    <row r="17" spans="1:24" x14ac:dyDescent="0.2">
      <c r="A17" s="96"/>
      <c r="B17" s="96"/>
      <c r="C17" s="96"/>
      <c r="D17" s="96"/>
      <c r="E17" s="96"/>
      <c r="F17" s="96"/>
      <c r="G17" s="96"/>
      <c r="H17" s="98"/>
      <c r="I17" s="98"/>
      <c r="J17" s="122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9"/>
      <c r="W17" s="108"/>
    </row>
    <row r="18" spans="1:24" x14ac:dyDescent="0.2">
      <c r="A18" s="96"/>
      <c r="B18" s="96"/>
      <c r="C18" s="96"/>
      <c r="D18" s="96"/>
      <c r="E18" s="96"/>
      <c r="F18" s="96"/>
      <c r="G18" s="96"/>
      <c r="H18" s="98"/>
      <c r="I18" s="98"/>
      <c r="J18" s="122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9"/>
      <c r="W18" s="108"/>
    </row>
    <row r="19" spans="1:24" x14ac:dyDescent="0.2">
      <c r="A19" s="96"/>
      <c r="B19" s="96"/>
      <c r="C19" s="96"/>
      <c r="D19" s="96"/>
      <c r="E19" s="96"/>
      <c r="F19" s="96"/>
      <c r="G19" s="96"/>
      <c r="H19" s="98"/>
      <c r="I19" s="98"/>
      <c r="J19" s="122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9"/>
      <c r="W19" s="108"/>
    </row>
    <row r="20" spans="1:24" x14ac:dyDescent="0.2">
      <c r="A20" s="96"/>
      <c r="B20" s="96"/>
      <c r="C20" s="96"/>
      <c r="D20" s="96"/>
      <c r="E20" s="96"/>
      <c r="F20" s="96"/>
      <c r="G20" s="96"/>
      <c r="H20" s="98"/>
      <c r="I20" s="98"/>
      <c r="J20" s="122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9"/>
      <c r="W20" s="108" t="s">
        <v>246</v>
      </c>
    </row>
    <row r="21" spans="1:24" x14ac:dyDescent="0.2">
      <c r="A21" s="96"/>
      <c r="B21" s="96"/>
      <c r="C21" s="96"/>
      <c r="D21" s="96"/>
      <c r="E21" s="96"/>
      <c r="F21" s="96"/>
      <c r="G21" s="96"/>
      <c r="H21" s="98"/>
      <c r="I21" s="98"/>
      <c r="J21" s="122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9" t="s">
        <v>7</v>
      </c>
      <c r="W21" s="108">
        <v>2.7E-2</v>
      </c>
      <c r="X21" s="105"/>
    </row>
    <row r="22" spans="1:24" x14ac:dyDescent="0.2">
      <c r="A22" s="96"/>
      <c r="B22" s="96"/>
      <c r="C22" s="96"/>
      <c r="D22" s="96"/>
      <c r="E22" s="96"/>
      <c r="F22" s="96"/>
      <c r="G22" s="96"/>
      <c r="H22" s="98"/>
      <c r="I22" s="98"/>
      <c r="J22" s="122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9" t="s">
        <v>10</v>
      </c>
      <c r="W22" s="108"/>
    </row>
    <row r="23" spans="1:24" x14ac:dyDescent="0.2">
      <c r="A23" s="96"/>
      <c r="B23" s="96"/>
      <c r="C23" s="96"/>
      <c r="D23" s="96"/>
      <c r="E23" s="96"/>
      <c r="F23" s="96"/>
      <c r="G23" s="96"/>
      <c r="H23" s="98"/>
      <c r="I23" s="98"/>
      <c r="J23" s="122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9" t="s">
        <v>17</v>
      </c>
      <c r="W23" s="108">
        <v>2.3E-2</v>
      </c>
      <c r="X23" s="106"/>
    </row>
    <row r="24" spans="1:24" x14ac:dyDescent="0.2">
      <c r="A24" s="96"/>
      <c r="B24" s="96"/>
      <c r="C24" s="96"/>
      <c r="D24" s="96"/>
      <c r="E24" s="96"/>
      <c r="F24" s="96"/>
      <c r="G24" s="96"/>
      <c r="H24" s="98"/>
      <c r="I24" s="98"/>
      <c r="J24" s="122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9"/>
      <c r="W24" s="108"/>
    </row>
    <row r="25" spans="1:24" x14ac:dyDescent="0.2">
      <c r="A25" s="96"/>
      <c r="B25" s="96"/>
      <c r="C25" s="96"/>
      <c r="D25" s="96"/>
      <c r="E25" s="96"/>
      <c r="F25" s="96"/>
      <c r="G25" s="96"/>
      <c r="H25" s="98"/>
      <c r="I25" s="98"/>
      <c r="J25" s="122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9"/>
      <c r="W25" s="108"/>
    </row>
    <row r="26" spans="1:24" x14ac:dyDescent="0.2">
      <c r="A26" s="96"/>
      <c r="B26" s="96"/>
      <c r="C26" s="96"/>
      <c r="D26" s="96"/>
      <c r="E26" s="96"/>
      <c r="F26" s="96"/>
      <c r="G26" s="96"/>
      <c r="H26" s="98"/>
      <c r="I26" s="98"/>
      <c r="J26" s="122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9"/>
      <c r="W26" s="108"/>
    </row>
    <row r="27" spans="1:24" x14ac:dyDescent="0.2">
      <c r="A27" s="96"/>
      <c r="B27" s="96"/>
      <c r="C27" s="96"/>
      <c r="D27" s="96"/>
      <c r="E27" s="96"/>
      <c r="F27" s="96"/>
      <c r="G27" s="96"/>
      <c r="H27" s="98"/>
      <c r="I27" s="98"/>
      <c r="J27" s="122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9"/>
      <c r="W27" s="108"/>
    </row>
    <row r="28" spans="1:24" x14ac:dyDescent="0.2">
      <c r="A28" s="96"/>
      <c r="B28" s="96"/>
      <c r="C28" s="96"/>
      <c r="D28" s="96"/>
      <c r="E28" s="96"/>
      <c r="F28" s="96"/>
      <c r="G28" s="96"/>
      <c r="H28" s="98"/>
      <c r="I28" s="98"/>
      <c r="J28" s="122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9"/>
      <c r="W28" s="108"/>
    </row>
    <row r="29" spans="1:24" x14ac:dyDescent="0.2">
      <c r="A29" s="96"/>
      <c r="B29" s="96"/>
      <c r="C29" s="96"/>
      <c r="D29" s="96"/>
      <c r="E29" s="96"/>
      <c r="F29" s="96"/>
      <c r="G29" s="96"/>
      <c r="H29" s="98"/>
      <c r="I29" s="98"/>
      <c r="J29" s="122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9"/>
      <c r="W29" s="108"/>
    </row>
    <row r="30" spans="1:24" x14ac:dyDescent="0.2">
      <c r="A30" s="96"/>
      <c r="B30" s="96"/>
      <c r="C30" s="96"/>
      <c r="D30" s="96"/>
      <c r="E30" s="96"/>
      <c r="F30" s="96"/>
      <c r="G30" s="96"/>
      <c r="H30" s="98"/>
      <c r="I30" s="98"/>
      <c r="J30" s="122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9"/>
      <c r="W30" s="108"/>
    </row>
    <row r="31" spans="1:24" x14ac:dyDescent="0.2">
      <c r="A31" s="96"/>
      <c r="B31" s="96"/>
      <c r="C31" s="96"/>
      <c r="D31" s="96"/>
      <c r="E31" s="96"/>
      <c r="F31" s="96"/>
      <c r="G31" s="96"/>
      <c r="H31" s="98"/>
      <c r="I31" s="98"/>
      <c r="J31" s="122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9"/>
      <c r="W31" s="108"/>
    </row>
    <row r="32" spans="1:24" x14ac:dyDescent="0.2">
      <c r="A32" s="96"/>
      <c r="B32" s="96"/>
      <c r="C32" s="96"/>
      <c r="D32" s="96"/>
      <c r="E32" s="96"/>
      <c r="F32" s="96"/>
      <c r="G32" s="96"/>
      <c r="H32" s="98"/>
      <c r="I32" s="98"/>
      <c r="J32" s="122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9"/>
      <c r="W32" s="108"/>
    </row>
    <row r="33" spans="1:23" x14ac:dyDescent="0.2">
      <c r="A33" s="96"/>
      <c r="B33" s="96"/>
      <c r="C33" s="96"/>
      <c r="D33" s="96"/>
      <c r="E33" s="96"/>
      <c r="F33" s="96"/>
      <c r="G33" s="96"/>
      <c r="H33" s="98"/>
      <c r="I33" s="98"/>
      <c r="J33" s="122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9"/>
      <c r="W33" s="108"/>
    </row>
    <row r="34" spans="1:23" x14ac:dyDescent="0.2">
      <c r="A34" s="96"/>
      <c r="B34" s="96"/>
      <c r="C34" s="96"/>
      <c r="D34" s="96"/>
      <c r="E34" s="96"/>
      <c r="F34" s="96"/>
      <c r="G34" s="96"/>
      <c r="H34" s="98"/>
      <c r="I34" s="98"/>
      <c r="J34" s="122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9"/>
      <c r="W34" s="108"/>
    </row>
    <row r="35" spans="1:23" x14ac:dyDescent="0.2">
      <c r="A35" s="96"/>
      <c r="B35" s="96"/>
      <c r="C35" s="96"/>
      <c r="D35" s="96"/>
      <c r="E35" s="96"/>
      <c r="F35" s="96"/>
      <c r="G35" s="96"/>
      <c r="H35" s="98"/>
      <c r="I35" s="98"/>
      <c r="J35" s="122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9"/>
      <c r="W35" s="108"/>
    </row>
    <row r="36" spans="1:23" x14ac:dyDescent="0.2">
      <c r="A36" s="96"/>
      <c r="B36" s="96"/>
      <c r="C36" s="96"/>
      <c r="D36" s="96"/>
      <c r="E36" s="96"/>
      <c r="F36" s="96"/>
      <c r="G36" s="96"/>
      <c r="H36" s="98"/>
      <c r="I36" s="98"/>
      <c r="J36" s="122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9"/>
      <c r="W36" s="108"/>
    </row>
    <row r="37" spans="1:23" x14ac:dyDescent="0.2">
      <c r="A37" s="96"/>
      <c r="B37" s="96"/>
      <c r="C37" s="96"/>
      <c r="D37" s="96"/>
      <c r="E37" s="96"/>
      <c r="F37" s="96"/>
      <c r="G37" s="96"/>
      <c r="H37" s="98"/>
      <c r="I37" s="98"/>
      <c r="J37" s="122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9"/>
      <c r="W37" s="108"/>
    </row>
    <row r="38" spans="1:23" x14ac:dyDescent="0.2">
      <c r="A38" s="96"/>
      <c r="B38" s="96"/>
      <c r="C38" s="96"/>
      <c r="D38" s="96"/>
      <c r="E38" s="96"/>
      <c r="F38" s="96"/>
      <c r="G38" s="96"/>
      <c r="H38" s="98"/>
      <c r="I38" s="98"/>
      <c r="J38" s="122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9"/>
      <c r="W38" s="108"/>
    </row>
    <row r="39" spans="1:23" x14ac:dyDescent="0.2">
      <c r="A39" s="96"/>
      <c r="B39" s="96"/>
      <c r="C39" s="96"/>
      <c r="D39" s="96"/>
      <c r="E39" s="96"/>
      <c r="F39" s="96"/>
      <c r="G39" s="96"/>
      <c r="H39" s="98"/>
      <c r="I39" s="98"/>
      <c r="J39" s="122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9"/>
      <c r="W39" s="108"/>
    </row>
    <row r="40" spans="1:23" x14ac:dyDescent="0.2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1:23" x14ac:dyDescent="0.2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1:23" x14ac:dyDescent="0.2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1:23" x14ac:dyDescent="0.2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1:23" x14ac:dyDescent="0.2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1:23" x14ac:dyDescent="0.2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1:23" x14ac:dyDescent="0.2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1:23" x14ac:dyDescent="0.2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1:23" x14ac:dyDescent="0.2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1:17" x14ac:dyDescent="0.2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1:17" x14ac:dyDescent="0.2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1:17" x14ac:dyDescent="0.2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1:17" x14ac:dyDescent="0.2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1:17" x14ac:dyDescent="0.2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1:17" x14ac:dyDescent="0.2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1:17" x14ac:dyDescent="0.2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1:17" x14ac:dyDescent="0.2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1:17" x14ac:dyDescent="0.2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1:17" x14ac:dyDescent="0.2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1:17" x14ac:dyDescent="0.2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1:17" x14ac:dyDescent="0.2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1:17" x14ac:dyDescent="0.2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1:17" x14ac:dyDescent="0.2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1:17" x14ac:dyDescent="0.2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1:17" x14ac:dyDescent="0.2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1:17" x14ac:dyDescent="0.2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</row>
    <row r="66" spans="1:17" x14ac:dyDescent="0.2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</row>
    <row r="67" spans="1:17" x14ac:dyDescent="0.2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1:17" x14ac:dyDescent="0.2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1:17" x14ac:dyDescent="0.2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1:17" x14ac:dyDescent="0.2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1:17" x14ac:dyDescent="0.2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1:17" x14ac:dyDescent="0.2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1:17" x14ac:dyDescent="0.2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1:17" x14ac:dyDescent="0.2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</row>
    <row r="75" spans="1:17" x14ac:dyDescent="0.2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</row>
    <row r="76" spans="1:17" x14ac:dyDescent="0.2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</row>
    <row r="77" spans="1:17" x14ac:dyDescent="0.2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</row>
    <row r="78" spans="1:17" x14ac:dyDescent="0.2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</row>
    <row r="79" spans="1:17" x14ac:dyDescent="0.2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</row>
    <row r="80" spans="1:17" x14ac:dyDescent="0.2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</row>
    <row r="81" spans="1:17" x14ac:dyDescent="0.2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</row>
    <row r="82" spans="1:17" x14ac:dyDescent="0.2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</row>
    <row r="83" spans="1:17" x14ac:dyDescent="0.2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</row>
    <row r="84" spans="1:17" x14ac:dyDescent="0.2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</row>
  </sheetData>
  <conditionalFormatting sqref="F3:F7">
    <cfRule type="expression" dxfId="2" priority="1" stopIfTrue="1">
      <formula>ISERROR(F3)=TRUE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57984-BCDB-754E-A114-18934BB6F1D8}">
  <dimension ref="A1:AN102"/>
  <sheetViews>
    <sheetView zoomScale="120" zoomScaleNormal="120" workbookViewId="0">
      <selection activeCell="I12" sqref="I12"/>
    </sheetView>
  </sheetViews>
  <sheetFormatPr baseColWidth="10" defaultColWidth="10.83203125" defaultRowHeight="17" x14ac:dyDescent="0.2"/>
  <cols>
    <col min="1" max="1" width="31.1640625" style="88" customWidth="1"/>
    <col min="2" max="2" width="18.1640625" style="89" customWidth="1"/>
    <col min="3" max="3" width="14.83203125" style="76" customWidth="1"/>
    <col min="4" max="4" width="10.83203125" style="103"/>
    <col min="5" max="5" width="10.83203125" style="81"/>
    <col min="6" max="6" width="12.6640625" style="103" customWidth="1"/>
    <col min="7" max="7" width="12.1640625" style="103" customWidth="1"/>
    <col min="8" max="8" width="11.6640625" style="2" customWidth="1"/>
    <col min="9" max="9" width="13.33203125" style="89" customWidth="1"/>
    <col min="10" max="10" width="13.33203125" style="103" customWidth="1"/>
    <col min="11" max="11" width="13.33203125" style="81" customWidth="1"/>
    <col min="12" max="14" width="10.83203125" style="81"/>
    <col min="15" max="15" width="13.33203125" style="103" customWidth="1"/>
    <col min="16" max="17" width="10.83203125" style="81"/>
    <col min="18" max="18" width="31.83203125" style="81" bestFit="1" customWidth="1"/>
    <col min="19" max="21" width="10.83203125" style="81"/>
    <col min="22" max="22" width="29.1640625" style="81" customWidth="1"/>
    <col min="23" max="23" width="26.33203125" style="81" customWidth="1"/>
    <col min="24" max="28" width="17.1640625" style="81" customWidth="1"/>
    <col min="29" max="38" width="10.83203125" style="81"/>
    <col min="39" max="40" width="37.1640625" style="81" customWidth="1"/>
    <col min="41" max="16384" width="10.83203125" style="81"/>
  </cols>
  <sheetData>
    <row r="1" spans="1:40" ht="54" x14ac:dyDescent="0.2">
      <c r="A1" s="77" t="s">
        <v>221</v>
      </c>
      <c r="B1" s="86" t="s">
        <v>271</v>
      </c>
      <c r="C1" s="82" t="s">
        <v>7</v>
      </c>
      <c r="D1" s="84" t="s">
        <v>8</v>
      </c>
      <c r="E1" s="82" t="s">
        <v>10</v>
      </c>
      <c r="F1" s="87" t="s">
        <v>275</v>
      </c>
      <c r="G1" s="87" t="s">
        <v>276</v>
      </c>
      <c r="U1" s="77" t="s">
        <v>221</v>
      </c>
      <c r="V1" s="80" t="s">
        <v>223</v>
      </c>
      <c r="W1" s="90" t="s">
        <v>224</v>
      </c>
      <c r="X1" s="109" t="s">
        <v>229</v>
      </c>
      <c r="Z1" s="126" t="s">
        <v>261</v>
      </c>
      <c r="AA1" s="126" t="s">
        <v>262</v>
      </c>
      <c r="AB1" s="115" t="s">
        <v>263</v>
      </c>
      <c r="AC1" s="115" t="s">
        <v>229</v>
      </c>
      <c r="AD1" s="90" t="s">
        <v>264</v>
      </c>
      <c r="AE1" s="115" t="s">
        <v>265</v>
      </c>
      <c r="AF1" s="115" t="s">
        <v>266</v>
      </c>
      <c r="AG1" s="115" t="s">
        <v>267</v>
      </c>
      <c r="AH1" s="115" t="s">
        <v>268</v>
      </c>
      <c r="AI1" s="80" t="s">
        <v>269</v>
      </c>
      <c r="AL1" s="126" t="s">
        <v>270</v>
      </c>
      <c r="AM1" s="126" t="s">
        <v>261</v>
      </c>
      <c r="AN1" s="126" t="s">
        <v>262</v>
      </c>
    </row>
    <row r="2" spans="1:40" ht="54" x14ac:dyDescent="0.2">
      <c r="A2" s="90" t="s">
        <v>224</v>
      </c>
      <c r="B2" s="76">
        <v>2.4E-2</v>
      </c>
      <c r="C2" s="76">
        <v>2.7359999999999999E-2</v>
      </c>
      <c r="D2" s="76">
        <v>2.1420000000000002E-2</v>
      </c>
      <c r="E2" s="78">
        <v>2.00574738E-2</v>
      </c>
      <c r="F2" s="95">
        <v>2.6200000000000001E-2</v>
      </c>
      <c r="G2" s="76">
        <v>2.3E-2</v>
      </c>
      <c r="I2" s="89">
        <f>E2/D2</f>
        <v>0.93638999999999994</v>
      </c>
      <c r="U2" s="86" t="s">
        <v>271</v>
      </c>
      <c r="V2" s="83">
        <v>1.1499999999999999</v>
      </c>
      <c r="W2" s="76">
        <v>2.4E-2</v>
      </c>
      <c r="X2" s="118">
        <f>X3*S11</f>
        <v>17221.651854295626</v>
      </c>
      <c r="Y2" s="110">
        <f>X2*W2</f>
        <v>413.31964450309505</v>
      </c>
      <c r="Z2" s="124">
        <v>1.1611938479999999</v>
      </c>
      <c r="AA2" s="124">
        <v>6.3295832999999996E-2</v>
      </c>
      <c r="AB2" s="124">
        <v>1.6850000000000001</v>
      </c>
      <c r="AC2" s="123">
        <f>X2/X$3</f>
        <v>1.8476190476190475</v>
      </c>
      <c r="AD2" s="83">
        <f>W2/W$3</f>
        <v>0.87719298245614041</v>
      </c>
      <c r="AE2" s="123">
        <f>Y2/Y$3</f>
        <v>1.6207184628237261</v>
      </c>
      <c r="AF2" s="120">
        <v>1.473638</v>
      </c>
      <c r="AG2" s="120">
        <v>1.090195</v>
      </c>
      <c r="AH2" s="120">
        <v>1.8139780000000001</v>
      </c>
      <c r="AI2" s="83">
        <f>V2/V$3</f>
        <v>1.1672550750220652</v>
      </c>
      <c r="AK2" s="119"/>
      <c r="AL2" s="124">
        <v>1.6850000000000001</v>
      </c>
      <c r="AM2" s="124">
        <v>1.1611938479999999</v>
      </c>
      <c r="AN2" s="124">
        <v>6.3295832999999996E-2</v>
      </c>
    </row>
    <row r="3" spans="1:40" x14ac:dyDescent="0.2">
      <c r="A3" s="103" t="s">
        <v>279</v>
      </c>
      <c r="B3" s="116">
        <f>C3*'SRAM Chart 2'!B15</f>
        <v>8.018504594820385</v>
      </c>
      <c r="C3" s="116">
        <f>19.79/4</f>
        <v>4.9474999999999998</v>
      </c>
      <c r="D3" s="116">
        <f>C3*D15</f>
        <v>5.6726584042379216</v>
      </c>
      <c r="E3" s="116">
        <f>21.65/4</f>
        <v>5.4124999999999996</v>
      </c>
      <c r="F3" s="116">
        <f>C3*F15</f>
        <v>4.0967139613609342</v>
      </c>
      <c r="G3" s="116">
        <f>20.27/4</f>
        <v>5.0674999999999999</v>
      </c>
      <c r="I3" s="89">
        <f>D2*0.94</f>
        <v>2.0134800000000001E-2</v>
      </c>
      <c r="R3" s="81" t="s">
        <v>272</v>
      </c>
      <c r="U3" s="82" t="s">
        <v>7</v>
      </c>
      <c r="V3" s="83">
        <v>0.98521739130434793</v>
      </c>
      <c r="W3" s="76">
        <v>2.7359999999999999E-2</v>
      </c>
      <c r="X3" s="117">
        <v>9320.997137634231</v>
      </c>
      <c r="Y3" s="110">
        <f>X3*W3</f>
        <v>255.02248168567255</v>
      </c>
      <c r="Z3" s="124">
        <v>0.64013671900000002</v>
      </c>
      <c r="AA3" s="124">
        <v>4.2952083000000002E-2</v>
      </c>
      <c r="AB3" s="124">
        <v>1.5455950540000001</v>
      </c>
      <c r="AC3" s="123">
        <f>X3/X$3</f>
        <v>1</v>
      </c>
      <c r="AD3" s="83">
        <f>W3/W$3</f>
        <v>1</v>
      </c>
      <c r="AE3" s="123">
        <f>Y3/Y$3</f>
        <v>1</v>
      </c>
      <c r="AF3" s="120">
        <v>1</v>
      </c>
      <c r="AG3" s="120">
        <v>1</v>
      </c>
      <c r="AH3" s="120">
        <v>1</v>
      </c>
      <c r="AI3" s="83">
        <f>V3/V$3</f>
        <v>1</v>
      </c>
      <c r="AK3" s="119"/>
      <c r="AL3" s="124">
        <v>1.5455950540000001</v>
      </c>
      <c r="AM3" s="124">
        <v>0.64013671900000002</v>
      </c>
      <c r="AN3" s="124">
        <v>4.2952083000000002E-2</v>
      </c>
    </row>
    <row r="4" spans="1:40" x14ac:dyDescent="0.2">
      <c r="A4" s="103" t="s">
        <v>359</v>
      </c>
      <c r="B4" s="116">
        <f t="shared" ref="B4:G4" si="0">B3/64</f>
        <v>0.12528913429406852</v>
      </c>
      <c r="C4" s="116">
        <f t="shared" si="0"/>
        <v>7.7304687499999997E-2</v>
      </c>
      <c r="D4" s="116">
        <f t="shared" si="0"/>
        <v>8.8635287566217524E-2</v>
      </c>
      <c r="E4" s="116">
        <f t="shared" si="0"/>
        <v>8.4570312499999994E-2</v>
      </c>
      <c r="F4" s="116">
        <f t="shared" si="0"/>
        <v>6.4011155646264598E-2</v>
      </c>
      <c r="G4" s="116">
        <f t="shared" si="0"/>
        <v>7.9179687499999998E-2</v>
      </c>
      <c r="U4" s="82"/>
      <c r="V4" s="83"/>
      <c r="W4" s="76"/>
      <c r="X4" s="117"/>
      <c r="Y4" s="110"/>
      <c r="Z4" s="124"/>
      <c r="AA4" s="124"/>
      <c r="AB4" s="124"/>
      <c r="AC4" s="123"/>
      <c r="AD4" s="83"/>
      <c r="AE4" s="123"/>
      <c r="AF4" s="120"/>
      <c r="AG4" s="120"/>
      <c r="AH4" s="120"/>
      <c r="AI4" s="83"/>
      <c r="AK4" s="119"/>
      <c r="AL4" s="124"/>
      <c r="AM4" s="124"/>
      <c r="AN4" s="124"/>
    </row>
    <row r="5" spans="1:40" x14ac:dyDescent="0.2">
      <c r="A5" s="126" t="s">
        <v>262</v>
      </c>
      <c r="B5" s="124">
        <v>6.3295832999999996E-2</v>
      </c>
      <c r="C5" s="124">
        <v>4.2952083000000002E-2</v>
      </c>
      <c r="D5" s="124">
        <v>4.0695833000000001E-2</v>
      </c>
      <c r="E5" s="135">
        <f>C5*E16</f>
        <v>4.0695853032092999E-2</v>
      </c>
      <c r="F5" s="135">
        <f>C5*F16</f>
        <v>4.5900013312538998E-2</v>
      </c>
      <c r="G5" s="124">
        <v>4.0739583000000003E-2</v>
      </c>
      <c r="U5" s="82"/>
      <c r="V5" s="83"/>
      <c r="W5" s="76"/>
      <c r="X5" s="117"/>
      <c r="Y5" s="110"/>
      <c r="Z5" s="124"/>
      <c r="AA5" s="124"/>
      <c r="AB5" s="124"/>
      <c r="AC5" s="123"/>
      <c r="AD5" s="83"/>
      <c r="AE5" s="123"/>
      <c r="AF5" s="120"/>
      <c r="AG5" s="120"/>
      <c r="AH5" s="120"/>
      <c r="AI5" s="83"/>
      <c r="AK5" s="119"/>
      <c r="AL5" s="124"/>
      <c r="AM5" s="124"/>
      <c r="AN5" s="124"/>
    </row>
    <row r="6" spans="1:40" ht="34" x14ac:dyDescent="0.2">
      <c r="A6" s="115" t="s">
        <v>263</v>
      </c>
      <c r="B6" s="124">
        <v>1.6850000000000001</v>
      </c>
      <c r="C6" s="124">
        <v>1.5455950540000001</v>
      </c>
      <c r="D6" s="124">
        <v>1.414427157</v>
      </c>
      <c r="E6" s="135">
        <f>C6*E17</f>
        <v>1.5865131374595962</v>
      </c>
      <c r="F6" s="135">
        <f>C6*F17</f>
        <v>1.243343122024922</v>
      </c>
      <c r="G6" s="124">
        <v>1.308900524</v>
      </c>
      <c r="R6" s="81" t="s">
        <v>273</v>
      </c>
      <c r="S6" s="127">
        <v>9700</v>
      </c>
      <c r="U6" s="84" t="s">
        <v>8</v>
      </c>
      <c r="V6" s="83">
        <v>1.1000000000000001</v>
      </c>
      <c r="W6" s="76">
        <v>2.1420000000000002E-2</v>
      </c>
      <c r="X6" s="117">
        <v>13081.089040494233</v>
      </c>
      <c r="Y6" s="110">
        <f>X6*W6</f>
        <v>280.1969272473865</v>
      </c>
      <c r="Z6" s="124">
        <v>0.64868164100000003</v>
      </c>
      <c r="AA6" s="124">
        <v>4.0695833000000001E-2</v>
      </c>
      <c r="AB6" s="124">
        <v>1.414427157</v>
      </c>
      <c r="AC6" s="123">
        <f>X6/X$3</f>
        <v>1.4034001778284371</v>
      </c>
      <c r="AD6" s="83">
        <f>W6/W$3</f>
        <v>0.78289473684210531</v>
      </c>
      <c r="AE6" s="123">
        <f>Y6/Y$3</f>
        <v>1.0987146129051582</v>
      </c>
      <c r="AF6" s="120">
        <v>0.94747099999999995</v>
      </c>
      <c r="AG6" s="120">
        <v>0.915134</v>
      </c>
      <c r="AH6" s="120">
        <v>1.0133490000000001</v>
      </c>
      <c r="AI6" s="83">
        <f>V6/V$3</f>
        <v>1.116504854368932</v>
      </c>
      <c r="AL6" s="124">
        <v>1.414427157</v>
      </c>
      <c r="AM6" s="124">
        <v>0.64868164100000003</v>
      </c>
      <c r="AN6" s="124">
        <v>4.0695833000000001E-2</v>
      </c>
    </row>
    <row r="7" spans="1:40" ht="32" x14ac:dyDescent="0.2">
      <c r="A7" s="126" t="s">
        <v>261</v>
      </c>
      <c r="B7" s="124">
        <v>1.1611938479999999</v>
      </c>
      <c r="C7" s="124">
        <v>0.64013671900000002</v>
      </c>
      <c r="D7" s="124">
        <v>0.64868164100000003</v>
      </c>
      <c r="E7" s="135">
        <f>E12</f>
        <v>0.66880780250729099</v>
      </c>
      <c r="F7" s="135">
        <f>F12</f>
        <v>1.2836232734505271</v>
      </c>
      <c r="G7" s="124">
        <v>1.072998047</v>
      </c>
      <c r="R7" s="81" t="s">
        <v>274</v>
      </c>
      <c r="S7" s="128">
        <f>S6*2</f>
        <v>19400</v>
      </c>
      <c r="U7" s="82" t="s">
        <v>10</v>
      </c>
      <c r="V7" s="83">
        <v>1.1660000000000001</v>
      </c>
      <c r="W7" s="78">
        <v>2.00574738E-2</v>
      </c>
      <c r="X7" s="117">
        <f>X3*1.43</f>
        <v>13329.025906816949</v>
      </c>
      <c r="Y7" s="110">
        <f>X7*W7</f>
        <v>267.34658790550219</v>
      </c>
      <c r="Z7" s="135">
        <f>Z3*AH7</f>
        <v>0.66880780250729099</v>
      </c>
      <c r="AA7" s="135">
        <f>AA3*AF7</f>
        <v>4.0695853032092999E-2</v>
      </c>
      <c r="AB7" s="135">
        <f>AB3*AG7</f>
        <v>1.5865131374595962</v>
      </c>
      <c r="AC7" s="123">
        <f>X7/X$3</f>
        <v>1.43</v>
      </c>
      <c r="AD7" s="83">
        <f>W7/W$3</f>
        <v>0.733094802631579</v>
      </c>
      <c r="AE7" s="123">
        <f>Y7/Y$3</f>
        <v>1.0483255677631578</v>
      </c>
      <c r="AF7" s="121">
        <v>0.94747099999999995</v>
      </c>
      <c r="AG7" s="121">
        <v>1.0264740000000001</v>
      </c>
      <c r="AH7" s="121">
        <v>1.044789</v>
      </c>
      <c r="AI7" s="83">
        <f>V7/V$3</f>
        <v>1.1834951456310681</v>
      </c>
      <c r="AL7" s="125"/>
      <c r="AM7" s="125"/>
      <c r="AN7" s="125"/>
    </row>
    <row r="8" spans="1:40" ht="18" x14ac:dyDescent="0.2">
      <c r="A8" s="80" t="s">
        <v>269</v>
      </c>
      <c r="B8" s="83">
        <f t="shared" ref="B8:G8" si="1">B10/$C10</f>
        <v>1.1672550750220652</v>
      </c>
      <c r="C8" s="83">
        <f t="shared" si="1"/>
        <v>1</v>
      </c>
      <c r="D8" s="83">
        <f t="shared" si="1"/>
        <v>1.116504854368932</v>
      </c>
      <c r="E8" s="83">
        <f t="shared" si="1"/>
        <v>1.1834951456310681</v>
      </c>
      <c r="F8" s="83">
        <f t="shared" si="1"/>
        <v>0.99157181118178794</v>
      </c>
      <c r="G8" s="83">
        <f t="shared" si="1"/>
        <v>1.1276699029126214</v>
      </c>
      <c r="R8" s="103"/>
      <c r="U8" s="87" t="s">
        <v>275</v>
      </c>
      <c r="V8" s="83">
        <v>0.97691379310344861</v>
      </c>
      <c r="W8" s="95">
        <v>2.6200000000000001E-2</v>
      </c>
      <c r="X8" s="117">
        <v>8059.8510403712871</v>
      </c>
      <c r="Y8" s="110">
        <f>X8*W8</f>
        <v>211.16809725772774</v>
      </c>
      <c r="Z8" s="135">
        <f>Z3*AH8</f>
        <v>1.2836232734505271</v>
      </c>
      <c r="AA8" s="135">
        <f>AA3*AF8</f>
        <v>4.5900013312538998E-2</v>
      </c>
      <c r="AB8" s="135">
        <f>AB3*AG8</f>
        <v>1.243343122024922</v>
      </c>
      <c r="AC8" s="123">
        <f>X8/X$3</f>
        <v>0.86469837093169233</v>
      </c>
      <c r="AD8" s="83">
        <f>W8/W$3</f>
        <v>0.95760233918128668</v>
      </c>
      <c r="AE8" s="123">
        <f>Y8/Y$3</f>
        <v>0.82803718269043647</v>
      </c>
      <c r="AF8" s="121">
        <v>1.0686329999999999</v>
      </c>
      <c r="AG8" s="121">
        <v>0.80444300000000002</v>
      </c>
      <c r="AH8" s="121">
        <v>2.005233</v>
      </c>
      <c r="AI8" s="83">
        <f>V8/V$3</f>
        <v>0.99157181118178794</v>
      </c>
      <c r="AL8" s="125"/>
      <c r="AM8" s="125"/>
      <c r="AN8" s="125"/>
    </row>
    <row r="9" spans="1:40" x14ac:dyDescent="0.2">
      <c r="A9" s="103" t="s">
        <v>280</v>
      </c>
      <c r="B9" s="110">
        <f t="shared" ref="B9:G9" si="2">B11*B2</f>
        <v>413.31964450309505</v>
      </c>
      <c r="C9" s="110">
        <f t="shared" si="2"/>
        <v>255.02248168567255</v>
      </c>
      <c r="D9" s="110">
        <f t="shared" si="2"/>
        <v>280.1969272473865</v>
      </c>
      <c r="E9" s="110">
        <f t="shared" si="2"/>
        <v>267.34658790550219</v>
      </c>
      <c r="F9" s="110">
        <f t="shared" si="2"/>
        <v>211.16809725772774</v>
      </c>
      <c r="G9" s="110">
        <f t="shared" si="2"/>
        <v>263.60424420118591</v>
      </c>
      <c r="U9" s="87" t="s">
        <v>276</v>
      </c>
      <c r="V9" s="83">
        <v>1.1110000000000002</v>
      </c>
      <c r="W9" s="76">
        <v>2.3E-2</v>
      </c>
      <c r="X9" s="117">
        <v>11461.054095703736</v>
      </c>
      <c r="Y9" s="110">
        <f>X9*W9</f>
        <v>263.60424420118591</v>
      </c>
      <c r="Z9" s="124">
        <v>1.072998047</v>
      </c>
      <c r="AA9" s="124">
        <v>4.0739583000000003E-2</v>
      </c>
      <c r="AB9" s="124">
        <v>1.308900524</v>
      </c>
      <c r="AC9" s="123">
        <f>X9/X$3</f>
        <v>1.229595281113097</v>
      </c>
      <c r="AD9" s="83">
        <f>W9/W$3</f>
        <v>0.84064327485380119</v>
      </c>
      <c r="AE9" s="123">
        <f>Y9/Y$3</f>
        <v>1.0336510038596942</v>
      </c>
      <c r="AF9" s="120">
        <v>0.94848900000000003</v>
      </c>
      <c r="AG9" s="120">
        <v>0.84685900000000003</v>
      </c>
      <c r="AH9" s="120">
        <v>1.6762010000000001</v>
      </c>
      <c r="AI9" s="83">
        <f>V9/V$3</f>
        <v>1.1276699029126214</v>
      </c>
      <c r="AL9" s="124">
        <v>1.308900524</v>
      </c>
      <c r="AM9" s="124">
        <v>1.072998047</v>
      </c>
      <c r="AN9" s="124">
        <v>4.0739583000000003E-2</v>
      </c>
    </row>
    <row r="10" spans="1:40" ht="36" x14ac:dyDescent="0.2">
      <c r="A10" s="80" t="s">
        <v>223</v>
      </c>
      <c r="B10" s="83">
        <v>1.1499999999999999</v>
      </c>
      <c r="C10" s="83">
        <v>0.98521739130434793</v>
      </c>
      <c r="D10" s="83">
        <v>1.1000000000000001</v>
      </c>
      <c r="E10" s="83">
        <v>1.1660000000000001</v>
      </c>
      <c r="F10" s="83">
        <v>0.97691379310344861</v>
      </c>
      <c r="G10" s="83">
        <v>1.1110000000000002</v>
      </c>
      <c r="R10" s="119" t="s">
        <v>277</v>
      </c>
      <c r="S10" s="128">
        <v>10500</v>
      </c>
    </row>
    <row r="11" spans="1:40" x14ac:dyDescent="0.2">
      <c r="A11" s="109" t="s">
        <v>229</v>
      </c>
      <c r="B11" s="118">
        <f>X3*S11</f>
        <v>17221.651854295626</v>
      </c>
      <c r="C11" s="117">
        <v>9320.997137634231</v>
      </c>
      <c r="D11" s="117">
        <v>13081.089040494233</v>
      </c>
      <c r="E11" s="117">
        <f>C11*1.43</f>
        <v>13329.025906816949</v>
      </c>
      <c r="F11" s="117">
        <v>8059.8510403712871</v>
      </c>
      <c r="G11" s="117">
        <v>11461.054095703736</v>
      </c>
      <c r="R11" s="81" t="s">
        <v>278</v>
      </c>
      <c r="S11" s="112">
        <f>19.4/10.5</f>
        <v>1.8476190476190475</v>
      </c>
    </row>
    <row r="12" spans="1:40" ht="32" x14ac:dyDescent="0.2">
      <c r="A12" s="126" t="s">
        <v>261</v>
      </c>
      <c r="B12" s="124">
        <v>1.1611938479999999</v>
      </c>
      <c r="C12" s="124">
        <v>0.64013671900000002</v>
      </c>
      <c r="D12" s="124">
        <v>0.64868164100000003</v>
      </c>
      <c r="E12" s="135">
        <f>C12*E18</f>
        <v>0.66880780250729099</v>
      </c>
      <c r="F12" s="135">
        <f>C12*F18</f>
        <v>1.2836232734505271</v>
      </c>
      <c r="G12" s="124">
        <v>1.072998047</v>
      </c>
    </row>
    <row r="13" spans="1:40" x14ac:dyDescent="0.2">
      <c r="A13" s="115" t="s">
        <v>229</v>
      </c>
      <c r="B13" s="123">
        <f t="shared" ref="B13:G13" si="3">B11/$C11</f>
        <v>1.8476190476190475</v>
      </c>
      <c r="C13" s="123">
        <f t="shared" si="3"/>
        <v>1</v>
      </c>
      <c r="D13" s="123">
        <f>D11/$C11</f>
        <v>1.4034001778284371</v>
      </c>
      <c r="E13" s="123">
        <f>E11/$C11</f>
        <v>1.43</v>
      </c>
      <c r="F13" s="123">
        <f t="shared" si="3"/>
        <v>0.86469837093169233</v>
      </c>
      <c r="G13" s="123">
        <f t="shared" si="3"/>
        <v>1.229595281113097</v>
      </c>
    </row>
    <row r="14" spans="1:40" ht="18" x14ac:dyDescent="0.2">
      <c r="A14" s="90" t="s">
        <v>264</v>
      </c>
      <c r="B14" s="83">
        <f t="shared" ref="B14:G14" si="4">B2/$C2</f>
        <v>0.87719298245614041</v>
      </c>
      <c r="C14" s="83">
        <f t="shared" si="4"/>
        <v>1</v>
      </c>
      <c r="D14" s="83">
        <f t="shared" si="4"/>
        <v>0.78289473684210531</v>
      </c>
      <c r="E14" s="83">
        <f t="shared" si="4"/>
        <v>0.733094802631579</v>
      </c>
      <c r="F14" s="83">
        <f>F2/$C2</f>
        <v>0.95760233918128668</v>
      </c>
      <c r="G14" s="83">
        <f t="shared" si="4"/>
        <v>0.84064327485380119</v>
      </c>
    </row>
    <row r="15" spans="1:40" x14ac:dyDescent="0.2">
      <c r="A15" s="115" t="s">
        <v>265</v>
      </c>
      <c r="B15" s="123">
        <f>B9/$C9</f>
        <v>1.6207184628237261</v>
      </c>
      <c r="C15" s="123">
        <f>C9/$C9</f>
        <v>1</v>
      </c>
      <c r="D15" s="123">
        <f>D9/E9*E15</f>
        <v>1.1465706729131726</v>
      </c>
      <c r="E15" s="123">
        <f>E3/C3</f>
        <v>1.0939868620515412</v>
      </c>
      <c r="F15" s="123">
        <f>G15*F9/G9</f>
        <v>0.82803718269043647</v>
      </c>
      <c r="G15" s="123">
        <f t="shared" ref="G15" si="5">G9/$C9</f>
        <v>1.0336510038596942</v>
      </c>
    </row>
    <row r="16" spans="1:40" x14ac:dyDescent="0.2">
      <c r="A16" s="115" t="s">
        <v>266</v>
      </c>
      <c r="B16" s="120">
        <v>1.473638</v>
      </c>
      <c r="C16" s="120">
        <v>1</v>
      </c>
      <c r="D16" s="120">
        <v>0.94747099999999995</v>
      </c>
      <c r="E16" s="121">
        <v>0.94747099999999995</v>
      </c>
      <c r="F16" s="121">
        <v>1.0686329999999999</v>
      </c>
      <c r="G16" s="120">
        <v>0.94848900000000003</v>
      </c>
    </row>
    <row r="17" spans="1:19" x14ac:dyDescent="0.2">
      <c r="A17" s="115" t="s">
        <v>267</v>
      </c>
      <c r="B17" s="120">
        <v>1.090195</v>
      </c>
      <c r="C17" s="120">
        <v>1</v>
      </c>
      <c r="D17" s="120">
        <v>0.915134</v>
      </c>
      <c r="E17" s="121">
        <v>1.0264740000000001</v>
      </c>
      <c r="F17" s="121">
        <v>0.80444300000000002</v>
      </c>
      <c r="G17" s="120">
        <v>0.84685900000000003</v>
      </c>
    </row>
    <row r="18" spans="1:19" x14ac:dyDescent="0.2">
      <c r="A18" s="115" t="s">
        <v>268</v>
      </c>
      <c r="B18" s="120">
        <v>1.8139780000000001</v>
      </c>
      <c r="C18" s="120">
        <v>1</v>
      </c>
      <c r="D18" s="120">
        <v>1.0133490000000001</v>
      </c>
      <c r="E18" s="121">
        <v>1.044789</v>
      </c>
      <c r="F18" s="121">
        <v>2.005233</v>
      </c>
      <c r="G18" s="120">
        <v>1.6762010000000001</v>
      </c>
    </row>
    <row r="20" spans="1:19" ht="18" x14ac:dyDescent="0.2">
      <c r="A20" s="88" t="s">
        <v>281</v>
      </c>
      <c r="B20" s="86" t="s">
        <v>271</v>
      </c>
      <c r="C20" s="82" t="s">
        <v>7</v>
      </c>
      <c r="D20" s="84" t="s">
        <v>8</v>
      </c>
      <c r="E20" s="82" t="s">
        <v>10</v>
      </c>
      <c r="F20" s="87" t="s">
        <v>275</v>
      </c>
      <c r="G20" s="87" t="s">
        <v>276</v>
      </c>
    </row>
    <row r="21" spans="1:19" ht="36" x14ac:dyDescent="0.2">
      <c r="A21" s="171" t="s">
        <v>282</v>
      </c>
      <c r="B21" s="89">
        <f>($H21-B2)/(0.01/3)+1</f>
        <v>2.7999999999999994</v>
      </c>
      <c r="C21" s="89">
        <f t="shared" ref="C21:G21" si="6">($H21-C2)/(0.01/3)+1</f>
        <v>1.7919999999999998</v>
      </c>
      <c r="D21" s="89">
        <f t="shared" si="6"/>
        <v>3.573999999999999</v>
      </c>
      <c r="E21" s="89">
        <f t="shared" si="6"/>
        <v>3.9827578599999995</v>
      </c>
      <c r="F21" s="89">
        <f t="shared" si="6"/>
        <v>2.1399999999999992</v>
      </c>
      <c r="G21" s="89">
        <f t="shared" si="6"/>
        <v>3.0999999999999996</v>
      </c>
      <c r="H21" s="2">
        <v>0.03</v>
      </c>
      <c r="I21" s="89" t="s">
        <v>283</v>
      </c>
      <c r="R21" s="99"/>
      <c r="S21" s="108"/>
    </row>
    <row r="22" spans="1:19" x14ac:dyDescent="0.2">
      <c r="A22" s="88" t="s">
        <v>279</v>
      </c>
      <c r="B22" s="89">
        <f t="shared" ref="B22:G22" si="7">($H22-B3)/2+1</f>
        <v>1.9907477025898075</v>
      </c>
      <c r="C22" s="89">
        <f t="shared" si="7"/>
        <v>3.5262500000000001</v>
      </c>
      <c r="D22" s="89">
        <f t="shared" si="7"/>
        <v>3.1636707978810392</v>
      </c>
      <c r="E22" s="89">
        <f t="shared" si="7"/>
        <v>3.2937500000000002</v>
      </c>
      <c r="F22" s="89">
        <f t="shared" si="7"/>
        <v>3.9516430193195329</v>
      </c>
      <c r="G22" s="89">
        <f t="shared" si="7"/>
        <v>3.4662500000000001</v>
      </c>
      <c r="H22" s="2">
        <v>10</v>
      </c>
      <c r="I22" s="89" t="s">
        <v>358</v>
      </c>
      <c r="R22" s="99"/>
      <c r="S22" s="108" t="s">
        <v>246</v>
      </c>
    </row>
    <row r="23" spans="1:19" ht="36" x14ac:dyDescent="0.2">
      <c r="A23" s="171" t="s">
        <v>284</v>
      </c>
      <c r="B23" s="89">
        <f t="shared" ref="B23:G23" si="8">($H23-B5)/0.01+1</f>
        <v>1.670416700000001</v>
      </c>
      <c r="C23" s="89">
        <f t="shared" si="8"/>
        <v>3.7047917000000004</v>
      </c>
      <c r="D23" s="89">
        <f t="shared" si="8"/>
        <v>3.9304167000000003</v>
      </c>
      <c r="E23" s="89">
        <f t="shared" si="8"/>
        <v>3.9304146967907005</v>
      </c>
      <c r="F23" s="89">
        <f t="shared" si="8"/>
        <v>3.409998668746101</v>
      </c>
      <c r="G23" s="89">
        <f t="shared" si="8"/>
        <v>3.9260417000000003</v>
      </c>
      <c r="H23" s="2">
        <v>7.0000000000000007E-2</v>
      </c>
      <c r="I23" s="89" t="s">
        <v>285</v>
      </c>
      <c r="R23" s="99" t="s">
        <v>7</v>
      </c>
      <c r="S23" s="108">
        <v>2.7E-2</v>
      </c>
    </row>
    <row r="24" spans="1:19" ht="36" x14ac:dyDescent="0.2">
      <c r="A24" s="171" t="s">
        <v>286</v>
      </c>
      <c r="B24" s="89">
        <f>B6*$H24</f>
        <v>3.37</v>
      </c>
      <c r="C24" s="89">
        <f t="shared" ref="C24:G24" si="9">C6*$H24</f>
        <v>3.0911901080000002</v>
      </c>
      <c r="D24" s="89">
        <f t="shared" si="9"/>
        <v>2.828854314</v>
      </c>
      <c r="E24" s="89">
        <f t="shared" si="9"/>
        <v>3.1730262749191924</v>
      </c>
      <c r="F24" s="89">
        <f t="shared" si="9"/>
        <v>2.4866862440498441</v>
      </c>
      <c r="G24" s="89">
        <f t="shared" si="9"/>
        <v>2.617801048</v>
      </c>
      <c r="H24" s="2">
        <v>2</v>
      </c>
      <c r="I24" s="89" t="s">
        <v>287</v>
      </c>
      <c r="M24" s="81">
        <f>6.92*1.85</f>
        <v>12.802</v>
      </c>
      <c r="R24" s="99" t="s">
        <v>10</v>
      </c>
      <c r="S24" s="108"/>
    </row>
    <row r="25" spans="1:19" ht="36" x14ac:dyDescent="0.2">
      <c r="A25" s="171" t="s">
        <v>288</v>
      </c>
      <c r="B25" s="89">
        <f t="shared" ref="B25:G25" si="10">($H25-B7)/0.25+1</f>
        <v>1.3552246080000003</v>
      </c>
      <c r="C25" s="89">
        <f t="shared" si="10"/>
        <v>3.4394531239999999</v>
      </c>
      <c r="D25" s="89">
        <f t="shared" si="10"/>
        <v>3.4052734359999999</v>
      </c>
      <c r="E25" s="89">
        <f t="shared" si="10"/>
        <v>3.324768789970836</v>
      </c>
      <c r="F25" s="89">
        <f t="shared" si="10"/>
        <v>0.86550690619789172</v>
      </c>
      <c r="G25" s="89">
        <f t="shared" si="10"/>
        <v>1.708007812</v>
      </c>
      <c r="H25" s="2">
        <v>1.25</v>
      </c>
      <c r="I25" s="89" t="s">
        <v>289</v>
      </c>
      <c r="M25" s="81">
        <f>6.92*0.83</f>
        <v>5.7435999999999998</v>
      </c>
      <c r="R25" s="99" t="s">
        <v>17</v>
      </c>
      <c r="S25" s="108">
        <v>2.3E-2</v>
      </c>
    </row>
    <row r="26" spans="1:19" ht="36" x14ac:dyDescent="0.2">
      <c r="A26" s="171" t="s">
        <v>290</v>
      </c>
      <c r="B26" s="89">
        <f t="shared" ref="B26:G26" si="11">(B8-$H26)/0.1+1</f>
        <v>3.6725507502206511</v>
      </c>
      <c r="C26" s="89">
        <f t="shared" si="11"/>
        <v>1.9999999999999998</v>
      </c>
      <c r="D26" s="89">
        <f t="shared" si="11"/>
        <v>3.1650485436893194</v>
      </c>
      <c r="E26" s="89">
        <f t="shared" si="11"/>
        <v>3.8349514563106801</v>
      </c>
      <c r="F26" s="89">
        <f t="shared" si="11"/>
        <v>1.9157181118178792</v>
      </c>
      <c r="G26" s="89">
        <f t="shared" si="11"/>
        <v>3.2766990291262132</v>
      </c>
      <c r="H26" s="2">
        <v>0.9</v>
      </c>
      <c r="I26" s="89" t="s">
        <v>291</v>
      </c>
      <c r="R26" s="99"/>
      <c r="S26" s="108"/>
    </row>
    <row r="27" spans="1:19" x14ac:dyDescent="0.2">
      <c r="A27" s="96"/>
      <c r="B27" s="96"/>
      <c r="C27" s="96"/>
      <c r="D27" s="96"/>
      <c r="E27" s="96"/>
      <c r="F27" s="98"/>
      <c r="G27" s="98"/>
      <c r="H27" s="122"/>
      <c r="I27" s="96"/>
      <c r="J27" s="96"/>
      <c r="K27" s="96"/>
      <c r="L27" s="96"/>
      <c r="M27" s="96"/>
      <c r="N27" s="96"/>
      <c r="O27" s="96"/>
    </row>
    <row r="28" spans="1:19" x14ac:dyDescent="0.2">
      <c r="A28" s="96"/>
      <c r="B28" s="96"/>
      <c r="C28" s="96"/>
      <c r="D28" s="96"/>
      <c r="E28" s="96"/>
      <c r="F28" s="98"/>
      <c r="G28" s="98"/>
      <c r="H28" s="122"/>
      <c r="I28" s="96"/>
      <c r="J28" s="96"/>
      <c r="K28" s="96"/>
      <c r="L28" s="96"/>
      <c r="M28" s="96"/>
      <c r="N28" s="96"/>
      <c r="O28" s="96"/>
    </row>
    <row r="29" spans="1:19" x14ac:dyDescent="0.2">
      <c r="A29" s="96"/>
      <c r="B29" s="96"/>
      <c r="C29" s="96"/>
      <c r="D29" s="96"/>
      <c r="E29" s="96"/>
      <c r="F29" s="98"/>
      <c r="G29" s="98"/>
      <c r="H29" s="122"/>
      <c r="I29" s="96"/>
      <c r="J29" s="96"/>
      <c r="K29" s="96"/>
      <c r="L29" s="96"/>
      <c r="M29" s="96"/>
      <c r="N29" s="96"/>
      <c r="O29" s="96"/>
    </row>
    <row r="30" spans="1:19" x14ac:dyDescent="0.2">
      <c r="A30" s="96"/>
      <c r="B30" s="96"/>
      <c r="C30" s="96"/>
      <c r="D30" s="96"/>
      <c r="E30" s="96"/>
      <c r="F30" s="98"/>
      <c r="G30" s="98"/>
      <c r="H30" s="122"/>
      <c r="I30" s="96"/>
      <c r="J30" s="96"/>
      <c r="K30" s="96"/>
      <c r="L30" s="96"/>
      <c r="M30" s="96"/>
      <c r="N30" s="96"/>
      <c r="O30" s="96"/>
    </row>
    <row r="31" spans="1:19" x14ac:dyDescent="0.2">
      <c r="A31" s="96"/>
      <c r="B31" s="96"/>
      <c r="C31" s="96"/>
      <c r="D31" s="96"/>
      <c r="E31" s="96"/>
      <c r="F31" s="98"/>
      <c r="G31" s="98"/>
      <c r="H31" s="122"/>
      <c r="I31" s="96"/>
      <c r="J31" s="96"/>
      <c r="K31" s="96"/>
      <c r="L31" s="96"/>
      <c r="M31" s="96"/>
      <c r="N31" s="96"/>
      <c r="O31" s="96"/>
    </row>
    <row r="32" spans="1:19" x14ac:dyDescent="0.2">
      <c r="A32" s="96"/>
      <c r="B32" s="96"/>
      <c r="C32" s="96"/>
      <c r="D32" s="96"/>
      <c r="E32" s="96"/>
      <c r="F32" s="98"/>
      <c r="G32" s="98"/>
      <c r="H32" s="122"/>
      <c r="I32" s="96"/>
      <c r="J32" s="96"/>
      <c r="K32" s="96"/>
      <c r="L32" s="96"/>
      <c r="M32" s="96"/>
      <c r="N32" s="96"/>
      <c r="O32" s="96"/>
    </row>
    <row r="33" spans="1:15" x14ac:dyDescent="0.2">
      <c r="A33" s="96"/>
      <c r="B33" s="96"/>
      <c r="C33" s="96"/>
      <c r="D33" s="96"/>
      <c r="E33" s="96"/>
      <c r="F33" s="98"/>
      <c r="G33" s="98"/>
      <c r="H33" s="122"/>
      <c r="I33" s="96"/>
      <c r="J33" s="96"/>
      <c r="K33" s="96"/>
      <c r="L33" s="96"/>
      <c r="M33" s="96"/>
      <c r="N33" s="96"/>
      <c r="O33" s="96"/>
    </row>
    <row r="34" spans="1:15" x14ac:dyDescent="0.2">
      <c r="A34" s="96"/>
      <c r="B34" s="96"/>
      <c r="C34" s="96"/>
      <c r="D34" s="96"/>
      <c r="E34" s="96"/>
      <c r="F34" s="98"/>
      <c r="G34" s="98"/>
      <c r="H34" s="122"/>
      <c r="I34" s="96"/>
      <c r="J34" s="96"/>
      <c r="K34" s="96"/>
      <c r="L34" s="96"/>
      <c r="M34" s="96"/>
      <c r="N34" s="96"/>
      <c r="O34" s="96"/>
    </row>
    <row r="35" spans="1:15" x14ac:dyDescent="0.2">
      <c r="A35" s="96"/>
      <c r="B35" s="96"/>
      <c r="C35" s="96"/>
      <c r="D35" s="96"/>
      <c r="E35" s="96"/>
      <c r="F35" s="98"/>
      <c r="G35" s="98"/>
      <c r="H35" s="122"/>
      <c r="I35" s="96"/>
      <c r="J35" s="96"/>
      <c r="K35" s="96"/>
      <c r="L35" s="96"/>
      <c r="M35" s="96"/>
      <c r="N35" s="96"/>
      <c r="O35" s="96"/>
    </row>
    <row r="36" spans="1:15" x14ac:dyDescent="0.2">
      <c r="A36" s="96"/>
      <c r="B36" s="96"/>
      <c r="C36" s="96"/>
      <c r="D36" s="96"/>
      <c r="E36" s="96"/>
      <c r="F36" s="98"/>
      <c r="G36" s="98"/>
      <c r="H36" s="122"/>
      <c r="I36" s="96"/>
      <c r="J36" s="96"/>
      <c r="K36" s="96"/>
      <c r="L36" s="96"/>
      <c r="M36" s="96"/>
      <c r="N36" s="96"/>
      <c r="O36" s="96"/>
    </row>
    <row r="37" spans="1:15" x14ac:dyDescent="0.2">
      <c r="A37" s="96"/>
      <c r="B37" s="96"/>
      <c r="C37" s="96"/>
      <c r="D37" s="96"/>
      <c r="E37" s="96"/>
      <c r="F37" s="98"/>
      <c r="G37" s="98"/>
      <c r="H37" s="122"/>
      <c r="I37" s="96"/>
      <c r="J37" s="96"/>
      <c r="K37" s="96"/>
      <c r="L37" s="96"/>
      <c r="M37" s="96"/>
      <c r="N37" s="96"/>
      <c r="O37" s="96"/>
    </row>
    <row r="38" spans="1:15" x14ac:dyDescent="0.2">
      <c r="A38" s="96"/>
      <c r="B38" s="96"/>
      <c r="C38" s="96"/>
      <c r="D38" s="96"/>
      <c r="E38" s="96"/>
      <c r="F38" s="98"/>
      <c r="G38" s="98"/>
      <c r="H38" s="122"/>
      <c r="I38" s="96"/>
      <c r="J38" s="96"/>
      <c r="K38" s="96"/>
      <c r="L38" s="96"/>
      <c r="M38" s="96"/>
      <c r="N38" s="96"/>
      <c r="O38" s="96"/>
    </row>
    <row r="39" spans="1:15" x14ac:dyDescent="0.2">
      <c r="A39" s="96"/>
      <c r="B39" s="96"/>
      <c r="C39" s="96"/>
      <c r="D39" s="96"/>
      <c r="E39" s="96"/>
      <c r="F39" s="98"/>
      <c r="G39" s="98"/>
      <c r="H39" s="122"/>
      <c r="I39" s="96"/>
      <c r="J39" s="96"/>
      <c r="K39" s="96"/>
      <c r="L39" s="96"/>
      <c r="M39" s="96"/>
      <c r="N39" s="96"/>
      <c r="O39" s="96"/>
    </row>
    <row r="40" spans="1:15" x14ac:dyDescent="0.2">
      <c r="A40" s="96"/>
      <c r="B40" s="96"/>
      <c r="C40" s="96"/>
      <c r="D40" s="96"/>
      <c r="E40" s="96"/>
      <c r="F40" s="98"/>
      <c r="G40" s="98"/>
      <c r="H40" s="122"/>
      <c r="I40" s="96"/>
      <c r="J40" s="96"/>
      <c r="K40" s="96"/>
      <c r="L40" s="96"/>
      <c r="M40" s="96"/>
      <c r="N40" s="96"/>
      <c r="O40" s="96"/>
    </row>
    <row r="41" spans="1:15" x14ac:dyDescent="0.2">
      <c r="A41" s="96"/>
      <c r="B41" s="96"/>
      <c r="C41" s="96"/>
      <c r="D41" s="96"/>
      <c r="E41" s="96"/>
      <c r="F41" s="98"/>
      <c r="G41" s="98"/>
      <c r="H41" s="122"/>
      <c r="I41" s="96"/>
      <c r="J41" s="96"/>
      <c r="K41" s="96"/>
      <c r="L41" s="96"/>
      <c r="M41" s="96"/>
      <c r="N41" s="96"/>
      <c r="O41" s="96"/>
    </row>
    <row r="42" spans="1:15" x14ac:dyDescent="0.2">
      <c r="A42" s="96"/>
      <c r="B42" s="96"/>
      <c r="C42" s="96"/>
      <c r="D42" s="96"/>
      <c r="E42" s="96"/>
      <c r="F42" s="98"/>
      <c r="G42" s="98"/>
      <c r="H42" s="122"/>
      <c r="I42" s="96"/>
      <c r="J42" s="96"/>
      <c r="K42" s="96"/>
      <c r="L42" s="96"/>
      <c r="M42" s="96"/>
      <c r="N42" s="96"/>
      <c r="O42" s="96"/>
    </row>
    <row r="43" spans="1:15" x14ac:dyDescent="0.2">
      <c r="A43" s="96"/>
      <c r="B43" s="96"/>
      <c r="C43" s="96"/>
      <c r="D43" s="96"/>
      <c r="E43" s="96"/>
      <c r="F43" s="98"/>
      <c r="G43" s="98"/>
      <c r="H43" s="122"/>
      <c r="I43" s="96"/>
      <c r="J43" s="96"/>
      <c r="K43" s="96"/>
      <c r="L43" s="96"/>
      <c r="M43" s="96"/>
      <c r="N43" s="96"/>
      <c r="O43" s="96"/>
    </row>
    <row r="44" spans="1:15" x14ac:dyDescent="0.2">
      <c r="A44" s="96"/>
      <c r="B44" s="96"/>
      <c r="C44" s="96"/>
      <c r="D44" s="96"/>
      <c r="E44" s="96"/>
      <c r="F44" s="98"/>
      <c r="G44" s="98"/>
      <c r="H44" s="122"/>
      <c r="I44" s="96"/>
      <c r="J44" s="96"/>
      <c r="K44" s="96"/>
      <c r="L44" s="96"/>
      <c r="M44" s="96"/>
      <c r="N44" s="96"/>
      <c r="O44" s="96"/>
    </row>
    <row r="45" spans="1:15" x14ac:dyDescent="0.2">
      <c r="A45" s="96"/>
      <c r="B45" s="96"/>
      <c r="C45" s="96"/>
      <c r="D45" s="96"/>
      <c r="E45" s="96"/>
      <c r="F45" s="98"/>
      <c r="G45" s="98"/>
      <c r="H45" s="122"/>
      <c r="I45" s="96"/>
      <c r="J45" s="96"/>
      <c r="K45" s="96"/>
      <c r="L45" s="96"/>
      <c r="M45" s="96"/>
      <c r="N45" s="96"/>
      <c r="O45" s="96"/>
    </row>
    <row r="46" spans="1:15" x14ac:dyDescent="0.2">
      <c r="A46" s="96"/>
      <c r="B46" s="96"/>
      <c r="C46" s="96"/>
      <c r="D46" s="96"/>
      <c r="E46" s="96"/>
      <c r="F46" s="98"/>
      <c r="G46" s="98"/>
      <c r="H46" s="122"/>
      <c r="I46" s="96"/>
      <c r="J46" s="96"/>
      <c r="K46" s="96"/>
      <c r="L46" s="96"/>
      <c r="M46" s="96"/>
      <c r="N46" s="96"/>
      <c r="O46" s="96"/>
    </row>
    <row r="47" spans="1:15" x14ac:dyDescent="0.2">
      <c r="A47" s="96"/>
      <c r="B47" s="96"/>
      <c r="C47" s="96"/>
      <c r="D47" s="96"/>
      <c r="E47" s="96"/>
      <c r="F47" s="98"/>
      <c r="G47" s="98"/>
      <c r="H47" s="122"/>
      <c r="I47" s="96"/>
      <c r="J47" s="96"/>
      <c r="K47" s="96"/>
      <c r="L47" s="96"/>
      <c r="M47" s="96"/>
      <c r="N47" s="96"/>
      <c r="O47" s="96"/>
    </row>
    <row r="48" spans="1:15" x14ac:dyDescent="0.2">
      <c r="A48" s="96"/>
      <c r="B48" s="96"/>
      <c r="C48" s="96"/>
      <c r="D48" s="96"/>
      <c r="E48" s="96"/>
      <c r="F48" s="98"/>
      <c r="G48" s="98"/>
      <c r="H48" s="122"/>
      <c r="I48" s="96"/>
      <c r="J48" s="96"/>
      <c r="K48" s="96"/>
      <c r="L48" s="96"/>
      <c r="M48" s="96"/>
      <c r="N48" s="96"/>
      <c r="O48" s="96"/>
    </row>
    <row r="49" spans="1:15" x14ac:dyDescent="0.2">
      <c r="A49" s="96"/>
      <c r="B49" s="96"/>
      <c r="C49" s="96"/>
      <c r="D49" s="96"/>
      <c r="E49" s="96"/>
      <c r="F49" s="98"/>
      <c r="G49" s="98"/>
      <c r="H49" s="122"/>
      <c r="I49" s="96"/>
      <c r="J49" s="96"/>
      <c r="K49" s="96"/>
      <c r="L49" s="96"/>
      <c r="M49" s="96"/>
      <c r="N49" s="96"/>
      <c r="O49" s="96"/>
    </row>
    <row r="50" spans="1:15" x14ac:dyDescent="0.2">
      <c r="A50" s="96"/>
      <c r="B50" s="96"/>
      <c r="C50" s="96"/>
      <c r="D50" s="96"/>
      <c r="E50" s="96"/>
      <c r="F50" s="98"/>
      <c r="G50" s="98"/>
      <c r="H50" s="122"/>
      <c r="I50" s="96"/>
      <c r="J50" s="96"/>
      <c r="K50" s="96"/>
      <c r="L50" s="96"/>
      <c r="M50" s="96"/>
      <c r="N50" s="96"/>
      <c r="O50" s="96"/>
    </row>
    <row r="51" spans="1:15" x14ac:dyDescent="0.2">
      <c r="A51" s="96"/>
      <c r="B51" s="96"/>
      <c r="C51" s="96"/>
      <c r="D51" s="96"/>
      <c r="E51" s="96"/>
      <c r="F51" s="98"/>
      <c r="G51" s="98"/>
      <c r="H51" s="122"/>
      <c r="I51" s="96"/>
      <c r="J51" s="96"/>
      <c r="K51" s="96"/>
      <c r="L51" s="96"/>
      <c r="M51" s="96"/>
      <c r="N51" s="96"/>
      <c r="O51" s="96"/>
    </row>
    <row r="52" spans="1:15" x14ac:dyDescent="0.2">
      <c r="A52" s="96"/>
      <c r="B52" s="96"/>
      <c r="C52" s="96"/>
      <c r="D52" s="96"/>
      <c r="E52" s="96"/>
      <c r="F52" s="98"/>
      <c r="G52" s="98"/>
      <c r="H52" s="122"/>
      <c r="I52" s="96"/>
      <c r="J52" s="96"/>
      <c r="K52" s="96"/>
      <c r="L52" s="96"/>
      <c r="M52" s="96"/>
      <c r="N52" s="96"/>
      <c r="O52" s="96"/>
    </row>
    <row r="53" spans="1:15" x14ac:dyDescent="0.2">
      <c r="A53" s="96"/>
      <c r="B53" s="96"/>
      <c r="C53" s="96"/>
      <c r="D53" s="96"/>
      <c r="E53" s="96"/>
      <c r="F53" s="98"/>
      <c r="G53" s="98"/>
      <c r="H53" s="122"/>
      <c r="I53" s="96"/>
      <c r="J53" s="96"/>
      <c r="K53" s="96"/>
      <c r="L53" s="96"/>
      <c r="M53" s="96"/>
      <c r="N53" s="96"/>
      <c r="O53" s="96"/>
    </row>
    <row r="54" spans="1:15" x14ac:dyDescent="0.2">
      <c r="A54" s="96"/>
      <c r="B54" s="96"/>
      <c r="C54" s="96"/>
      <c r="D54" s="96"/>
      <c r="E54" s="96"/>
      <c r="F54" s="98"/>
      <c r="G54" s="98"/>
      <c r="H54" s="122"/>
      <c r="I54" s="96"/>
      <c r="J54" s="96"/>
      <c r="K54" s="96"/>
      <c r="L54" s="96"/>
      <c r="M54" s="96"/>
      <c r="N54" s="96"/>
      <c r="O54" s="96"/>
    </row>
    <row r="55" spans="1:15" x14ac:dyDescent="0.2">
      <c r="A55" s="96"/>
      <c r="B55" s="96"/>
      <c r="C55" s="96"/>
      <c r="D55" s="96"/>
      <c r="E55" s="96"/>
      <c r="F55" s="98"/>
      <c r="G55" s="98"/>
      <c r="H55" s="122"/>
      <c r="I55" s="96"/>
      <c r="J55" s="96"/>
      <c r="K55" s="96"/>
      <c r="L55" s="96"/>
      <c r="M55" s="96"/>
      <c r="N55" s="96"/>
      <c r="O55" s="96"/>
    </row>
    <row r="56" spans="1:15" x14ac:dyDescent="0.2">
      <c r="A56" s="96"/>
      <c r="B56" s="96"/>
      <c r="C56" s="96"/>
      <c r="D56" s="96"/>
      <c r="E56" s="96"/>
      <c r="F56" s="98"/>
      <c r="G56" s="98"/>
      <c r="H56" s="122"/>
      <c r="I56" s="96"/>
      <c r="J56" s="96"/>
      <c r="K56" s="96"/>
      <c r="L56" s="96"/>
      <c r="M56" s="96"/>
      <c r="N56" s="96"/>
      <c r="O56" s="96"/>
    </row>
    <row r="57" spans="1:15" x14ac:dyDescent="0.2">
      <c r="A57" s="96"/>
      <c r="B57" s="96"/>
      <c r="C57" s="96"/>
      <c r="D57" s="96"/>
      <c r="E57" s="96"/>
      <c r="F57" s="98"/>
      <c r="G57" s="98"/>
      <c r="H57" s="122"/>
      <c r="I57" s="96"/>
      <c r="J57" s="96"/>
      <c r="K57" s="96"/>
      <c r="L57" s="96"/>
      <c r="M57" s="96"/>
      <c r="N57" s="96"/>
      <c r="O57" s="96"/>
    </row>
    <row r="58" spans="1:15" x14ac:dyDescent="0.2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</row>
    <row r="59" spans="1:15" x14ac:dyDescent="0.2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</row>
    <row r="60" spans="1:15" x14ac:dyDescent="0.2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</row>
    <row r="61" spans="1:15" x14ac:dyDescent="0.2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</row>
    <row r="62" spans="1:15" x14ac:dyDescent="0.2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</row>
    <row r="63" spans="1:15" x14ac:dyDescent="0.2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</row>
    <row r="64" spans="1:15" x14ac:dyDescent="0.2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</row>
    <row r="65" spans="1:15" x14ac:dyDescent="0.2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</row>
    <row r="66" spans="1:15" x14ac:dyDescent="0.2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</row>
    <row r="67" spans="1:15" x14ac:dyDescent="0.2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</row>
    <row r="68" spans="1:15" x14ac:dyDescent="0.2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</row>
    <row r="69" spans="1:15" x14ac:dyDescent="0.2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</row>
    <row r="70" spans="1:15" x14ac:dyDescent="0.2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</row>
    <row r="71" spans="1:15" x14ac:dyDescent="0.2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</row>
    <row r="72" spans="1:15" x14ac:dyDescent="0.2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</row>
    <row r="73" spans="1:15" x14ac:dyDescent="0.2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</row>
    <row r="74" spans="1:15" x14ac:dyDescent="0.2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</row>
    <row r="75" spans="1:15" x14ac:dyDescent="0.2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</row>
    <row r="76" spans="1:15" x14ac:dyDescent="0.2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</row>
    <row r="77" spans="1:15" x14ac:dyDescent="0.2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</row>
    <row r="78" spans="1:15" x14ac:dyDescent="0.2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</row>
    <row r="79" spans="1:15" x14ac:dyDescent="0.2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</row>
    <row r="80" spans="1:15" x14ac:dyDescent="0.2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</row>
    <row r="81" spans="1:15" x14ac:dyDescent="0.2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</row>
    <row r="82" spans="1:15" x14ac:dyDescent="0.2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</row>
    <row r="83" spans="1:15" x14ac:dyDescent="0.2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</row>
    <row r="84" spans="1:15" x14ac:dyDescent="0.2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</row>
    <row r="85" spans="1:15" x14ac:dyDescent="0.2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</row>
    <row r="86" spans="1:15" x14ac:dyDescent="0.2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</row>
    <row r="87" spans="1:15" x14ac:dyDescent="0.2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</row>
    <row r="88" spans="1:15" x14ac:dyDescent="0.2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</row>
    <row r="89" spans="1:15" x14ac:dyDescent="0.2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</row>
    <row r="90" spans="1:15" x14ac:dyDescent="0.2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</row>
    <row r="91" spans="1:15" x14ac:dyDescent="0.2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</row>
    <row r="92" spans="1:15" x14ac:dyDescent="0.2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</row>
    <row r="93" spans="1:15" x14ac:dyDescent="0.2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</row>
    <row r="94" spans="1:15" x14ac:dyDescent="0.2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</row>
    <row r="95" spans="1:15" x14ac:dyDescent="0.2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</row>
    <row r="96" spans="1:15" x14ac:dyDescent="0.2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</row>
    <row r="97" spans="1:15" x14ac:dyDescent="0.2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</row>
    <row r="98" spans="1:15" x14ac:dyDescent="0.2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</row>
    <row r="99" spans="1:15" x14ac:dyDescent="0.2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</row>
    <row r="100" spans="1:15" x14ac:dyDescent="0.2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</row>
    <row r="101" spans="1:15" x14ac:dyDescent="0.2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</row>
    <row r="102" spans="1:15" x14ac:dyDescent="0.2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</row>
  </sheetData>
  <conditionalFormatting sqref="C11:G11">
    <cfRule type="expression" dxfId="1" priority="1" stopIfTrue="1">
      <formula>ISERROR(C11)=TRUE</formula>
    </cfRule>
  </conditionalFormatting>
  <conditionalFormatting sqref="X3:X9">
    <cfRule type="expression" dxfId="0" priority="5" stopIfTrue="1">
      <formula>ISERROR(X3)=TRUE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F0072-CD87-7945-B69B-E0D99371F84A}">
  <dimension ref="A1:AB30"/>
  <sheetViews>
    <sheetView workbookViewId="0">
      <selection activeCell="I16" sqref="I16"/>
    </sheetView>
  </sheetViews>
  <sheetFormatPr baseColWidth="10" defaultColWidth="11" defaultRowHeight="16" x14ac:dyDescent="0.2"/>
  <cols>
    <col min="1" max="1" width="14" bestFit="1" customWidth="1"/>
    <col min="2" max="2" width="14.6640625" customWidth="1"/>
    <col min="5" max="5" width="10.83203125" style="130"/>
  </cols>
  <sheetData>
    <row r="1" spans="1:28" ht="37" x14ac:dyDescent="0.2">
      <c r="A1" s="136" t="s">
        <v>292</v>
      </c>
      <c r="B1" s="137" t="s">
        <v>221</v>
      </c>
      <c r="C1" s="138" t="s">
        <v>293</v>
      </c>
      <c r="D1" s="138" t="s">
        <v>294</v>
      </c>
      <c r="E1" s="138" t="s">
        <v>295</v>
      </c>
      <c r="F1" s="139" t="s">
        <v>296</v>
      </c>
      <c r="G1" s="139" t="s">
        <v>297</v>
      </c>
      <c r="H1" s="140" t="s">
        <v>298</v>
      </c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</row>
    <row r="2" spans="1:28" x14ac:dyDescent="0.2">
      <c r="A2" s="142" t="s">
        <v>299</v>
      </c>
      <c r="B2" s="143" t="s">
        <v>300</v>
      </c>
      <c r="C2" s="144">
        <v>12934.18</v>
      </c>
      <c r="D2" s="144">
        <v>4052.88</v>
      </c>
      <c r="E2" s="145">
        <f>C2*D2/10^6</f>
        <v>52.420679438400001</v>
      </c>
      <c r="F2" s="146">
        <v>1128</v>
      </c>
      <c r="G2" s="147">
        <v>0.84399999999999997</v>
      </c>
      <c r="H2" s="148">
        <f>_xlfn.FLOOR.MATH(F2*G2)</f>
        <v>952</v>
      </c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</row>
    <row r="3" spans="1:28" x14ac:dyDescent="0.2">
      <c r="A3" s="142" t="s">
        <v>301</v>
      </c>
      <c r="B3" s="143" t="s">
        <v>302</v>
      </c>
      <c r="C3" s="144">
        <v>8762.0619999999999</v>
      </c>
      <c r="D3" s="144">
        <v>16065.031999999999</v>
      </c>
      <c r="E3" s="145">
        <f>C3*D3/10^6</f>
        <v>140.76280641598402</v>
      </c>
      <c r="F3" s="146">
        <v>430</v>
      </c>
      <c r="G3" s="147">
        <v>0.57199999999999995</v>
      </c>
      <c r="H3" s="148">
        <f>_xlfn.FLOOR.MATH(F3*G3)</f>
        <v>245</v>
      </c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</row>
    <row r="4" spans="1:28" x14ac:dyDescent="0.2">
      <c r="A4" s="142" t="s">
        <v>303</v>
      </c>
      <c r="B4" s="143" t="s">
        <v>304</v>
      </c>
      <c r="C4" s="144">
        <v>9172.3790000000008</v>
      </c>
      <c r="D4" s="144">
        <v>16099.852000000001</v>
      </c>
      <c r="E4" s="145">
        <f>C4*D4/10^6</f>
        <v>147.67394438790802</v>
      </c>
      <c r="F4" s="146">
        <v>387</v>
      </c>
      <c r="G4" s="147">
        <v>0.86899999999999999</v>
      </c>
      <c r="H4" s="148">
        <f>_xlfn.FLOOR.MATH(F4*G4)</f>
        <v>336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</row>
    <row r="5" spans="1:28" x14ac:dyDescent="0.2">
      <c r="A5" s="142"/>
      <c r="B5" s="143"/>
      <c r="C5" s="144"/>
      <c r="D5" s="144"/>
      <c r="E5" s="145"/>
      <c r="F5" s="146"/>
      <c r="G5" s="147"/>
      <c r="H5" s="148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</row>
    <row r="6" spans="1:28" x14ac:dyDescent="0.2">
      <c r="A6" s="142" t="s">
        <v>305</v>
      </c>
      <c r="B6" s="143" t="s">
        <v>300</v>
      </c>
      <c r="C6" s="144">
        <v>9400</v>
      </c>
      <c r="D6" s="144">
        <v>5320</v>
      </c>
      <c r="E6" s="145">
        <f>C6*D6/10^6</f>
        <v>50.008000000000003</v>
      </c>
      <c r="F6" s="146">
        <v>1184</v>
      </c>
      <c r="G6" s="147">
        <v>0.84899999999999998</v>
      </c>
      <c r="H6" s="148">
        <f>_xlfn.FLOOR.MATH(F6*G6)</f>
        <v>1005</v>
      </c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</row>
    <row r="7" spans="1:28" x14ac:dyDescent="0.2">
      <c r="A7" s="142" t="s">
        <v>306</v>
      </c>
      <c r="B7" s="143" t="s">
        <v>302</v>
      </c>
      <c r="C7" s="144">
        <v>7784.2619999999997</v>
      </c>
      <c r="D7" s="144">
        <v>14844.291999999999</v>
      </c>
      <c r="E7" s="145">
        <f>C7*D7/10^6</f>
        <v>115.55185813250398</v>
      </c>
      <c r="F7" s="146">
        <v>530</v>
      </c>
      <c r="G7" s="147">
        <v>0.625</v>
      </c>
      <c r="H7" s="148">
        <f>_xlfn.FLOOR.MATH(F7*G7)</f>
        <v>331</v>
      </c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</row>
    <row r="8" spans="1:28" x14ac:dyDescent="0.2">
      <c r="A8" s="142" t="s">
        <v>307</v>
      </c>
      <c r="B8" s="143" t="s">
        <v>304</v>
      </c>
      <c r="C8" s="144">
        <v>8131.0439999999999</v>
      </c>
      <c r="D8" s="144">
        <v>14879.111999999999</v>
      </c>
      <c r="E8" s="145">
        <f>C8*D8/10^6</f>
        <v>120.982714352928</v>
      </c>
      <c r="F8" s="146">
        <v>476</v>
      </c>
      <c r="G8" s="147">
        <v>0.88900000000000001</v>
      </c>
      <c r="H8" s="148">
        <f>_xlfn.FLOOR.MATH(F8*G8)</f>
        <v>423</v>
      </c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</row>
    <row r="9" spans="1:28" x14ac:dyDescent="0.2">
      <c r="A9" s="142"/>
      <c r="B9" s="143"/>
      <c r="C9" s="144"/>
      <c r="D9" s="144"/>
      <c r="E9" s="145"/>
      <c r="F9" s="146"/>
      <c r="G9" s="147"/>
      <c r="H9" s="148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</row>
    <row r="10" spans="1:28" x14ac:dyDescent="0.2">
      <c r="A10" s="142" t="s">
        <v>308</v>
      </c>
      <c r="B10" s="143" t="s">
        <v>300</v>
      </c>
      <c r="C10" s="144">
        <v>11640</v>
      </c>
      <c r="D10" s="144">
        <v>5320</v>
      </c>
      <c r="E10" s="145">
        <f>C10*D10/10^6</f>
        <v>61.924799999999998</v>
      </c>
      <c r="F10" s="146">
        <v>951</v>
      </c>
      <c r="G10" s="147">
        <v>0.82699999999999996</v>
      </c>
      <c r="H10" s="148">
        <f>_xlfn.FLOOR.MATH(F10*G10)</f>
        <v>786</v>
      </c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</row>
    <row r="11" spans="1:28" x14ac:dyDescent="0.2">
      <c r="A11" s="142" t="s">
        <v>309</v>
      </c>
      <c r="B11" s="143" t="s">
        <v>302</v>
      </c>
      <c r="C11" s="144">
        <v>7785.3739999999998</v>
      </c>
      <c r="D11" s="144">
        <v>23849.17</v>
      </c>
      <c r="E11" s="145">
        <f>C11*D11/10^6</f>
        <v>185.67470803958</v>
      </c>
      <c r="F11" s="146">
        <v>320</v>
      </c>
      <c r="G11" s="147">
        <v>0.49399999999999999</v>
      </c>
      <c r="H11" s="148">
        <f>_xlfn.FLOOR.MATH(F11*G11)</f>
        <v>158</v>
      </c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</row>
    <row r="12" spans="1:28" x14ac:dyDescent="0.2">
      <c r="A12" s="142" t="s">
        <v>310</v>
      </c>
      <c r="B12" s="143" t="s">
        <v>304</v>
      </c>
      <c r="C12" s="144">
        <v>8131.23</v>
      </c>
      <c r="D12" s="144">
        <v>23883.99</v>
      </c>
      <c r="E12" s="145">
        <f>C12*D12/10^6</f>
        <v>194.20621600769999</v>
      </c>
      <c r="F12" s="146">
        <v>297</v>
      </c>
      <c r="G12" s="147">
        <v>0.83699999999999997</v>
      </c>
      <c r="H12" s="148">
        <f>_xlfn.FLOOR.MATH(F12*G12)</f>
        <v>248</v>
      </c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</row>
    <row r="13" spans="1:28" x14ac:dyDescent="0.2">
      <c r="A13" s="142"/>
      <c r="B13" s="143"/>
      <c r="C13" s="146"/>
      <c r="D13" s="146"/>
      <c r="E13" s="146"/>
      <c r="F13" s="146"/>
      <c r="G13" s="147"/>
      <c r="H13" s="148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</row>
    <row r="14" spans="1:28" x14ac:dyDescent="0.2">
      <c r="A14" s="142" t="s">
        <v>311</v>
      </c>
      <c r="B14" s="143" t="s">
        <v>312</v>
      </c>
      <c r="C14" s="144">
        <v>5000</v>
      </c>
      <c r="D14" s="144">
        <v>7000</v>
      </c>
      <c r="E14" s="145">
        <f>C14*D14/10^6</f>
        <v>35</v>
      </c>
      <c r="F14" s="146">
        <v>1704</v>
      </c>
      <c r="G14" s="147">
        <v>0.89100000000000001</v>
      </c>
      <c r="H14" s="148">
        <f>_xlfn.FLOOR.MATH(F14*G14)</f>
        <v>1518</v>
      </c>
      <c r="I14" s="149">
        <f>10500/H14</f>
        <v>6.9169960474308301</v>
      </c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</row>
    <row r="15" spans="1:28" x14ac:dyDescent="0.2">
      <c r="A15" s="142" t="s">
        <v>313</v>
      </c>
      <c r="B15" s="143" t="s">
        <v>312</v>
      </c>
      <c r="C15" s="144">
        <v>5000</v>
      </c>
      <c r="D15" s="144">
        <v>3500</v>
      </c>
      <c r="E15" s="145">
        <f>C15*D15/10^6</f>
        <v>17.5</v>
      </c>
      <c r="F15" s="146">
        <v>3449</v>
      </c>
      <c r="G15" s="147">
        <v>0.91100000000000003</v>
      </c>
      <c r="H15" s="148">
        <f>_xlfn.FLOOR.MATH(F15*G15)</f>
        <v>3142</v>
      </c>
      <c r="I15" s="149">
        <f>10500/H15</f>
        <v>3.3418204964990452</v>
      </c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</row>
    <row r="16" spans="1:28" ht="17" thickBot="1" x14ac:dyDescent="0.25">
      <c r="A16" s="150" t="s">
        <v>314</v>
      </c>
      <c r="B16" s="151" t="s">
        <v>312</v>
      </c>
      <c r="C16" s="152">
        <v>10000</v>
      </c>
      <c r="D16" s="152">
        <v>7000</v>
      </c>
      <c r="E16" s="153">
        <f>C16*D16/10^6</f>
        <v>70</v>
      </c>
      <c r="F16" s="154">
        <v>838</v>
      </c>
      <c r="G16" s="155">
        <v>0.83299999999999996</v>
      </c>
      <c r="H16" s="148">
        <f>_xlfn.FLOOR.MATH(F16*G16)</f>
        <v>698</v>
      </c>
      <c r="I16" s="149">
        <f>10500/H16</f>
        <v>15.04297994269341</v>
      </c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</row>
    <row r="17" spans="1:28" x14ac:dyDescent="0.2">
      <c r="A17" s="156"/>
      <c r="B17" s="156"/>
      <c r="C17" s="141"/>
      <c r="D17" s="141"/>
      <c r="E17" s="141"/>
      <c r="F17" s="141"/>
      <c r="G17" s="141"/>
      <c r="H17" s="141"/>
      <c r="I17" s="141"/>
      <c r="J17" s="141">
        <f>27/23*128</f>
        <v>150.2608695652174</v>
      </c>
      <c r="K17" s="141">
        <f>27/23</f>
        <v>1.173913043478261</v>
      </c>
      <c r="L17" s="141">
        <f>1/K17</f>
        <v>0.85185185185185175</v>
      </c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</row>
    <row r="18" spans="1:28" ht="19" x14ac:dyDescent="0.2">
      <c r="A18" s="156"/>
      <c r="B18" s="156"/>
      <c r="C18" s="141"/>
      <c r="D18" s="141"/>
      <c r="E18" s="141"/>
      <c r="F18" s="141"/>
      <c r="G18" s="141"/>
      <c r="H18" s="141"/>
      <c r="I18" s="141"/>
      <c r="J18" s="141">
        <f>200/J17*70</f>
        <v>93.171296296296291</v>
      </c>
      <c r="K18" s="141"/>
      <c r="L18" s="157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</row>
    <row r="19" spans="1:28" x14ac:dyDescent="0.2">
      <c r="K19">
        <f>1.8*K17</f>
        <v>2.1130434782608698</v>
      </c>
    </row>
    <row r="20" spans="1:28" x14ac:dyDescent="0.2">
      <c r="J20">
        <f>200/93</f>
        <v>2.150537634408602</v>
      </c>
      <c r="L20">
        <f>1.8*9</f>
        <v>16.2</v>
      </c>
    </row>
    <row r="21" spans="1:28" ht="17" thickBot="1" x14ac:dyDescent="0.25"/>
    <row r="22" spans="1:28" x14ac:dyDescent="0.2">
      <c r="A22" s="158" t="s">
        <v>315</v>
      </c>
      <c r="B22" s="159" t="s">
        <v>316</v>
      </c>
      <c r="C22" s="159" t="s">
        <v>317</v>
      </c>
      <c r="D22" s="159" t="s">
        <v>318</v>
      </c>
      <c r="E22" s="159" t="s">
        <v>319</v>
      </c>
      <c r="F22" s="159" t="s">
        <v>320</v>
      </c>
      <c r="G22" s="159" t="s">
        <v>321</v>
      </c>
      <c r="H22" s="159" t="s">
        <v>322</v>
      </c>
      <c r="I22" s="160" t="s">
        <v>323</v>
      </c>
    </row>
    <row r="23" spans="1:28" ht="19" x14ac:dyDescent="0.2">
      <c r="A23" s="161" t="s">
        <v>324</v>
      </c>
      <c r="B23" s="162" t="s">
        <v>324</v>
      </c>
      <c r="C23" s="162" t="s">
        <v>324</v>
      </c>
      <c r="D23" s="162" t="s">
        <v>324</v>
      </c>
      <c r="E23" s="162" t="s">
        <v>324</v>
      </c>
      <c r="F23" s="162" t="s">
        <v>325</v>
      </c>
      <c r="G23" s="162" t="s">
        <v>325</v>
      </c>
      <c r="H23" s="162" t="s">
        <v>326</v>
      </c>
      <c r="I23" s="163" t="s">
        <v>327</v>
      </c>
    </row>
    <row r="24" spans="1:28" ht="17" thickBot="1" x14ac:dyDescent="0.25">
      <c r="A24" s="164">
        <v>300</v>
      </c>
      <c r="B24" s="165">
        <v>2.5</v>
      </c>
      <c r="C24" s="165">
        <f>A24-B24*2</f>
        <v>295</v>
      </c>
      <c r="D24" s="166">
        <v>7</v>
      </c>
      <c r="E24" s="167">
        <f>D27</f>
        <v>8.5287846481876333</v>
      </c>
      <c r="F24" s="165">
        <v>100</v>
      </c>
      <c r="G24" s="165">
        <v>100</v>
      </c>
      <c r="H24" s="165">
        <f>(D24+F24/1000)*(E24+G24/1000)</f>
        <v>61.264371002132194</v>
      </c>
      <c r="I24" s="168">
        <f>_xlfn.FLOOR.MATH(C24*3.1415*(C24/4/H24-1/SQRT(2*H24)),1)</f>
        <v>1031</v>
      </c>
    </row>
    <row r="27" spans="1:28" x14ac:dyDescent="0.2">
      <c r="B27" s="169">
        <f>400/6.7</f>
        <v>59.701492537313435</v>
      </c>
      <c r="D27" s="132">
        <f>B27/D24</f>
        <v>8.5287846481876333</v>
      </c>
      <c r="I27" s="130" t="s">
        <v>328</v>
      </c>
    </row>
    <row r="28" spans="1:28" x14ac:dyDescent="0.2">
      <c r="A28" t="s">
        <v>329</v>
      </c>
      <c r="B28" t="s">
        <v>330</v>
      </c>
      <c r="C28">
        <v>3100</v>
      </c>
      <c r="D28">
        <v>3284</v>
      </c>
      <c r="E28" s="130">
        <f>C28*D28/10^6</f>
        <v>10.180400000000001</v>
      </c>
      <c r="F28" s="130">
        <v>6508</v>
      </c>
      <c r="G28" s="170">
        <v>0.95</v>
      </c>
      <c r="H28" s="130">
        <f>_xlfn.FLOOR.MATH(F28*G28)</f>
        <v>6182</v>
      </c>
      <c r="I28" s="149">
        <f>16800/H28</f>
        <v>2.7175671303785185</v>
      </c>
    </row>
    <row r="29" spans="1:28" x14ac:dyDescent="0.2">
      <c r="A29" t="s">
        <v>331</v>
      </c>
      <c r="B29" t="s">
        <v>330</v>
      </c>
      <c r="C29">
        <v>3100</v>
      </c>
      <c r="D29">
        <v>6468</v>
      </c>
      <c r="E29" s="130">
        <f>C29*D29/10^6</f>
        <v>20.050799999999999</v>
      </c>
      <c r="F29" s="130">
        <v>3262</v>
      </c>
      <c r="G29" s="170">
        <v>0.9</v>
      </c>
      <c r="H29" s="130">
        <f>_xlfn.FLOOR.MATH(F29*G29)</f>
        <v>2935</v>
      </c>
      <c r="I29" s="149">
        <f>16800/H29</f>
        <v>5.7240204429301533</v>
      </c>
    </row>
    <row r="30" spans="1:28" x14ac:dyDescent="0.2">
      <c r="A30" t="s">
        <v>332</v>
      </c>
      <c r="B30" t="s">
        <v>330</v>
      </c>
      <c r="C30">
        <v>7100</v>
      </c>
      <c r="D30">
        <v>8629</v>
      </c>
      <c r="E30" s="130">
        <f>C30*D30/10^6</f>
        <v>61.265900000000002</v>
      </c>
      <c r="F30" s="130">
        <v>1031</v>
      </c>
      <c r="G30" s="170">
        <v>0.85</v>
      </c>
      <c r="H30" s="130">
        <f>_xlfn.FLOOR.MATH(F30*G30)</f>
        <v>876</v>
      </c>
      <c r="I30" s="149">
        <f>16800/H30</f>
        <v>19.17808219178082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093BF-1125-3344-A991-AA93DABAD1F9}">
  <dimension ref="B1:Z48"/>
  <sheetViews>
    <sheetView topLeftCell="I5" zoomScale="120" zoomScaleNormal="120" workbookViewId="0">
      <selection activeCell="AF19" sqref="AF19"/>
    </sheetView>
  </sheetViews>
  <sheetFormatPr baseColWidth="10" defaultColWidth="11" defaultRowHeight="16" x14ac:dyDescent="0.2"/>
  <cols>
    <col min="2" max="2" width="26.83203125" bestFit="1" customWidth="1"/>
    <col min="3" max="7" width="10.83203125" style="130"/>
    <col min="9" max="9" width="26.83203125" bestFit="1" customWidth="1"/>
    <col min="14" max="14" width="10.83203125" style="130"/>
    <col min="16" max="16" width="26.83203125" bestFit="1" customWidth="1"/>
  </cols>
  <sheetData>
    <row r="1" spans="2:26" x14ac:dyDescent="0.2">
      <c r="B1" s="129" t="s">
        <v>333</v>
      </c>
      <c r="C1" s="130" t="s">
        <v>334</v>
      </c>
      <c r="D1" s="130" t="s">
        <v>335</v>
      </c>
      <c r="E1" s="130" t="s">
        <v>336</v>
      </c>
      <c r="F1" s="130" t="s">
        <v>337</v>
      </c>
      <c r="G1" s="130" t="s">
        <v>338</v>
      </c>
      <c r="I1" s="129" t="s">
        <v>333</v>
      </c>
      <c r="J1" s="130" t="s">
        <v>334</v>
      </c>
      <c r="K1" s="130" t="s">
        <v>335</v>
      </c>
      <c r="L1" s="130" t="s">
        <v>336</v>
      </c>
      <c r="M1" s="130" t="s">
        <v>337</v>
      </c>
      <c r="N1" s="130" t="s">
        <v>338</v>
      </c>
      <c r="P1" s="129" t="s">
        <v>333</v>
      </c>
      <c r="Q1" s="130" t="s">
        <v>334</v>
      </c>
      <c r="R1" s="130" t="s">
        <v>335</v>
      </c>
      <c r="S1" s="130" t="s">
        <v>336</v>
      </c>
      <c r="T1" s="130" t="s">
        <v>337</v>
      </c>
      <c r="U1" s="130" t="s">
        <v>338</v>
      </c>
      <c r="V1" s="130" t="s">
        <v>339</v>
      </c>
      <c r="W1" s="130" t="s">
        <v>340</v>
      </c>
      <c r="X1" s="130" t="s">
        <v>360</v>
      </c>
    </row>
    <row r="2" spans="2:26" ht="34" x14ac:dyDescent="0.2">
      <c r="B2" t="s">
        <v>341</v>
      </c>
      <c r="C2" s="130">
        <v>20</v>
      </c>
      <c r="D2" s="130">
        <v>35</v>
      </c>
      <c r="E2" s="130">
        <v>30</v>
      </c>
      <c r="F2" s="130">
        <v>35</v>
      </c>
      <c r="G2" s="130">
        <v>25</v>
      </c>
      <c r="I2" t="s">
        <v>341</v>
      </c>
      <c r="J2" s="130">
        <f>C2</f>
        <v>20</v>
      </c>
      <c r="K2" s="130">
        <f t="shared" ref="K2:K8" si="0">D2</f>
        <v>35</v>
      </c>
      <c r="L2" s="130">
        <f t="shared" ref="L2:L8" si="1">E2</f>
        <v>30</v>
      </c>
      <c r="M2" s="130">
        <f t="shared" ref="M2:M8" si="2">F2</f>
        <v>35</v>
      </c>
      <c r="N2" s="130">
        <f t="shared" ref="N2:N8" si="3">G2</f>
        <v>25</v>
      </c>
      <c r="P2" s="133" t="s">
        <v>363</v>
      </c>
      <c r="Q2" s="132">
        <f t="shared" ref="Q2:U4" si="4">($V2-J2)/$X2+1</f>
        <v>3.5</v>
      </c>
      <c r="R2" s="132">
        <f t="shared" si="4"/>
        <v>2</v>
      </c>
      <c r="S2" s="132">
        <f t="shared" si="4"/>
        <v>2.5</v>
      </c>
      <c r="T2" s="132">
        <f t="shared" si="4"/>
        <v>2</v>
      </c>
      <c r="U2" s="132">
        <f t="shared" si="4"/>
        <v>3</v>
      </c>
      <c r="V2" s="130">
        <v>45</v>
      </c>
      <c r="W2" t="s">
        <v>361</v>
      </c>
      <c r="X2">
        <v>10</v>
      </c>
    </row>
    <row r="3" spans="2:26" ht="34" x14ac:dyDescent="0.2">
      <c r="B3" t="s">
        <v>342</v>
      </c>
      <c r="C3" s="130">
        <v>90</v>
      </c>
      <c r="D3" s="131">
        <v>90</v>
      </c>
      <c r="E3" s="131">
        <v>90</v>
      </c>
      <c r="F3" s="131">
        <v>90</v>
      </c>
      <c r="G3" s="131">
        <v>90</v>
      </c>
      <c r="I3" t="s">
        <v>342</v>
      </c>
      <c r="J3" s="130">
        <f t="shared" ref="J3:J8" si="5">C3</f>
        <v>90</v>
      </c>
      <c r="K3" s="131">
        <f t="shared" si="0"/>
        <v>90</v>
      </c>
      <c r="L3" s="131">
        <f t="shared" si="1"/>
        <v>90</v>
      </c>
      <c r="M3" s="131">
        <f t="shared" si="2"/>
        <v>90</v>
      </c>
      <c r="N3" s="131">
        <f t="shared" si="3"/>
        <v>90</v>
      </c>
      <c r="P3" s="133" t="s">
        <v>362</v>
      </c>
      <c r="Q3" s="132">
        <f t="shared" si="4"/>
        <v>3</v>
      </c>
      <c r="R3" s="132">
        <f t="shared" si="4"/>
        <v>3</v>
      </c>
      <c r="S3" s="132">
        <f t="shared" si="4"/>
        <v>3</v>
      </c>
      <c r="T3" s="132">
        <f t="shared" si="4"/>
        <v>3</v>
      </c>
      <c r="U3" s="132">
        <f t="shared" si="4"/>
        <v>3</v>
      </c>
      <c r="V3" s="130">
        <v>110</v>
      </c>
      <c r="W3" t="s">
        <v>361</v>
      </c>
      <c r="X3">
        <v>10</v>
      </c>
    </row>
    <row r="4" spans="2:26" ht="34" x14ac:dyDescent="0.2">
      <c r="B4" t="s">
        <v>343</v>
      </c>
      <c r="C4" s="130">
        <v>80</v>
      </c>
      <c r="D4" s="130">
        <v>110</v>
      </c>
      <c r="E4" s="130">
        <v>110</v>
      </c>
      <c r="F4" s="130">
        <v>110</v>
      </c>
      <c r="G4" s="130">
        <v>90</v>
      </c>
      <c r="I4" t="s">
        <v>343</v>
      </c>
      <c r="J4" s="130">
        <f t="shared" si="5"/>
        <v>80</v>
      </c>
      <c r="K4" s="130">
        <f t="shared" si="0"/>
        <v>110</v>
      </c>
      <c r="L4" s="130">
        <f t="shared" si="1"/>
        <v>110</v>
      </c>
      <c r="M4" s="130">
        <f t="shared" si="2"/>
        <v>110</v>
      </c>
      <c r="N4" s="130">
        <f t="shared" si="3"/>
        <v>90</v>
      </c>
      <c r="P4" s="133" t="s">
        <v>364</v>
      </c>
      <c r="Q4" s="132">
        <f t="shared" si="4"/>
        <v>4</v>
      </c>
      <c r="R4" s="132">
        <f t="shared" si="4"/>
        <v>1</v>
      </c>
      <c r="S4" s="132">
        <f t="shared" si="4"/>
        <v>1</v>
      </c>
      <c r="T4" s="132">
        <f t="shared" si="4"/>
        <v>1</v>
      </c>
      <c r="U4" s="132">
        <f t="shared" si="4"/>
        <v>3</v>
      </c>
      <c r="V4" s="130">
        <v>110</v>
      </c>
      <c r="W4" t="s">
        <v>361</v>
      </c>
      <c r="X4">
        <v>10</v>
      </c>
    </row>
    <row r="5" spans="2:26" ht="34" x14ac:dyDescent="0.2">
      <c r="B5" t="s">
        <v>344</v>
      </c>
      <c r="C5" s="130">
        <v>10</v>
      </c>
      <c r="D5" s="130">
        <v>20</v>
      </c>
      <c r="E5" s="130">
        <v>2</v>
      </c>
      <c r="F5" s="130">
        <v>20</v>
      </c>
      <c r="G5" s="130">
        <v>2.2000000000000002</v>
      </c>
      <c r="I5" t="s">
        <v>344</v>
      </c>
      <c r="J5" s="130">
        <f t="shared" si="5"/>
        <v>10</v>
      </c>
      <c r="K5" s="130">
        <f t="shared" si="0"/>
        <v>20</v>
      </c>
      <c r="L5" s="130">
        <f t="shared" si="1"/>
        <v>2</v>
      </c>
      <c r="M5" s="130">
        <f t="shared" si="2"/>
        <v>20</v>
      </c>
      <c r="N5" s="130">
        <f t="shared" si="3"/>
        <v>2.2000000000000002</v>
      </c>
      <c r="P5" s="133" t="s">
        <v>365</v>
      </c>
      <c r="Q5" s="132">
        <f t="shared" ref="Q5:U5" si="6">LOG($V5/J5)/LOG(2)+1</f>
        <v>1.6780719051126378</v>
      </c>
      <c r="R5" s="132">
        <f t="shared" si="6"/>
        <v>0.67807190511263771</v>
      </c>
      <c r="S5" s="132">
        <f t="shared" si="6"/>
        <v>4</v>
      </c>
      <c r="T5" s="132">
        <f t="shared" si="6"/>
        <v>0.67807190511263771</v>
      </c>
      <c r="U5" s="132">
        <f t="shared" si="6"/>
        <v>3.8624964762500649</v>
      </c>
      <c r="V5" s="130">
        <v>16</v>
      </c>
      <c r="W5" t="s">
        <v>361</v>
      </c>
    </row>
    <row r="6" spans="2:26" ht="34" x14ac:dyDescent="0.2">
      <c r="B6" t="s">
        <v>345</v>
      </c>
      <c r="C6" s="130">
        <v>5</v>
      </c>
      <c r="D6" s="130">
        <v>4</v>
      </c>
      <c r="E6" s="130">
        <v>7</v>
      </c>
      <c r="F6" s="130">
        <v>4</v>
      </c>
      <c r="G6" s="130">
        <v>4</v>
      </c>
      <c r="I6" t="s">
        <v>345</v>
      </c>
      <c r="J6" s="130">
        <f t="shared" si="5"/>
        <v>5</v>
      </c>
      <c r="K6" s="130">
        <f t="shared" si="0"/>
        <v>4</v>
      </c>
      <c r="L6" s="130">
        <f t="shared" si="1"/>
        <v>7</v>
      </c>
      <c r="M6" s="130">
        <f t="shared" si="2"/>
        <v>4</v>
      </c>
      <c r="N6" s="130">
        <f t="shared" si="3"/>
        <v>4</v>
      </c>
      <c r="P6" s="133" t="s">
        <v>346</v>
      </c>
      <c r="Q6" s="132">
        <f t="shared" ref="Q6:U8" si="7">J6/$V6</f>
        <v>2.5</v>
      </c>
      <c r="R6" s="132">
        <f t="shared" si="7"/>
        <v>2</v>
      </c>
      <c r="S6" s="132">
        <f t="shared" si="7"/>
        <v>3.5</v>
      </c>
      <c r="T6" s="132">
        <f t="shared" si="7"/>
        <v>2</v>
      </c>
      <c r="U6" s="132">
        <f t="shared" si="7"/>
        <v>2</v>
      </c>
      <c r="V6" s="130">
        <v>2</v>
      </c>
      <c r="W6" t="s">
        <v>287</v>
      </c>
    </row>
    <row r="7" spans="2:26" ht="34" x14ac:dyDescent="0.2">
      <c r="B7" t="s">
        <v>347</v>
      </c>
      <c r="C7" s="130">
        <v>9</v>
      </c>
      <c r="D7" s="130">
        <v>4</v>
      </c>
      <c r="E7" s="130">
        <v>4</v>
      </c>
      <c r="F7" s="131">
        <v>4</v>
      </c>
      <c r="G7" s="130">
        <v>1</v>
      </c>
      <c r="I7" t="s">
        <v>347</v>
      </c>
      <c r="J7" s="130">
        <f t="shared" si="5"/>
        <v>9</v>
      </c>
      <c r="K7" s="130">
        <f t="shared" si="0"/>
        <v>4</v>
      </c>
      <c r="L7" s="130">
        <f t="shared" si="1"/>
        <v>4</v>
      </c>
      <c r="M7" s="131">
        <f t="shared" si="2"/>
        <v>4</v>
      </c>
      <c r="N7" s="130">
        <f t="shared" si="3"/>
        <v>1</v>
      </c>
      <c r="P7" s="133" t="s">
        <v>348</v>
      </c>
      <c r="Q7" s="132">
        <f t="shared" si="7"/>
        <v>3</v>
      </c>
      <c r="R7" s="132">
        <f t="shared" si="7"/>
        <v>1.3333333333333333</v>
      </c>
      <c r="S7" s="132">
        <f t="shared" si="7"/>
        <v>1.3333333333333333</v>
      </c>
      <c r="T7" s="132">
        <f t="shared" si="7"/>
        <v>1.3333333333333333</v>
      </c>
      <c r="U7" s="132">
        <f t="shared" si="7"/>
        <v>0.33333333333333331</v>
      </c>
      <c r="V7" s="130">
        <v>3</v>
      </c>
      <c r="W7" t="s">
        <v>287</v>
      </c>
    </row>
    <row r="8" spans="2:26" ht="34" x14ac:dyDescent="0.2">
      <c r="B8" t="s">
        <v>349</v>
      </c>
      <c r="C8" s="130">
        <v>4</v>
      </c>
      <c r="D8" s="130">
        <v>3</v>
      </c>
      <c r="E8" s="130">
        <v>3</v>
      </c>
      <c r="F8" s="130">
        <v>3</v>
      </c>
      <c r="G8" s="130">
        <v>1</v>
      </c>
      <c r="I8" t="s">
        <v>349</v>
      </c>
      <c r="J8" s="130">
        <f t="shared" si="5"/>
        <v>4</v>
      </c>
      <c r="K8" s="130">
        <f t="shared" si="0"/>
        <v>3</v>
      </c>
      <c r="L8" s="130">
        <f t="shared" si="1"/>
        <v>3</v>
      </c>
      <c r="M8" s="130">
        <f t="shared" si="2"/>
        <v>3</v>
      </c>
      <c r="N8" s="130">
        <f t="shared" si="3"/>
        <v>1</v>
      </c>
      <c r="P8" s="133" t="s">
        <v>350</v>
      </c>
      <c r="Q8" s="132">
        <f t="shared" si="7"/>
        <v>4</v>
      </c>
      <c r="R8" s="132">
        <f t="shared" si="7"/>
        <v>3</v>
      </c>
      <c r="S8" s="132">
        <f t="shared" si="7"/>
        <v>3</v>
      </c>
      <c r="T8" s="132">
        <f t="shared" si="7"/>
        <v>3</v>
      </c>
      <c r="U8" s="132">
        <f t="shared" si="7"/>
        <v>1</v>
      </c>
      <c r="V8" s="130">
        <v>1</v>
      </c>
      <c r="W8" t="s">
        <v>287</v>
      </c>
    </row>
    <row r="9" spans="2:26" ht="34" x14ac:dyDescent="0.2">
      <c r="B9" t="s">
        <v>351</v>
      </c>
      <c r="C9" s="130" t="s">
        <v>352</v>
      </c>
      <c r="D9" s="130" t="s">
        <v>352</v>
      </c>
      <c r="E9" s="130" t="s">
        <v>353</v>
      </c>
      <c r="F9" s="130" t="s">
        <v>352</v>
      </c>
      <c r="G9" s="130" t="s">
        <v>354</v>
      </c>
      <c r="I9" t="s">
        <v>355</v>
      </c>
      <c r="J9" s="130">
        <f>100*100</f>
        <v>10000</v>
      </c>
      <c r="K9" s="130">
        <f>100*100</f>
        <v>10000</v>
      </c>
      <c r="L9" s="130">
        <f>75*75</f>
        <v>5625</v>
      </c>
      <c r="M9" s="130">
        <f>100*100</f>
        <v>10000</v>
      </c>
      <c r="N9" s="130">
        <f>65*72</f>
        <v>4680</v>
      </c>
      <c r="P9" s="133" t="s">
        <v>356</v>
      </c>
      <c r="Q9" s="132">
        <f>SQRT(J9)/$V9</f>
        <v>4</v>
      </c>
      <c r="R9" s="132">
        <f>SQRT(K9)/$V9</f>
        <v>4</v>
      </c>
      <c r="S9" s="132">
        <f>SQRT(L9)/$V9</f>
        <v>3</v>
      </c>
      <c r="T9" s="132">
        <f>SQRT(M9)/$V9</f>
        <v>4</v>
      </c>
      <c r="U9" s="132">
        <f>SQRT(N9)/$V9</f>
        <v>2.7364210202379313</v>
      </c>
      <c r="V9" s="130">
        <v>25</v>
      </c>
      <c r="W9" t="s">
        <v>357</v>
      </c>
    </row>
    <row r="10" spans="2:26" x14ac:dyDescent="0.2"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</row>
    <row r="11" spans="2:26" x14ac:dyDescent="0.2"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</row>
    <row r="12" spans="2:26" x14ac:dyDescent="0.2"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</row>
    <row r="13" spans="2:26" x14ac:dyDescent="0.2"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</row>
    <row r="14" spans="2:26" x14ac:dyDescent="0.2"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</row>
    <row r="15" spans="2:26" x14ac:dyDescent="0.2"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</row>
    <row r="16" spans="2:26" x14ac:dyDescent="0.2"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</row>
    <row r="17" spans="15:26" x14ac:dyDescent="0.2"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spans="15:26" x14ac:dyDescent="0.2"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</row>
    <row r="19" spans="15:26" x14ac:dyDescent="0.2"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</row>
    <row r="20" spans="15:26" x14ac:dyDescent="0.2"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</row>
    <row r="21" spans="15:26" x14ac:dyDescent="0.2"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</row>
    <row r="22" spans="15:26" x14ac:dyDescent="0.2"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5:26" x14ac:dyDescent="0.2"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4" spans="15:26" x14ac:dyDescent="0.2"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</row>
    <row r="25" spans="15:26" x14ac:dyDescent="0.2"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</row>
    <row r="26" spans="15:26" x14ac:dyDescent="0.2"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</row>
    <row r="27" spans="15:26" x14ac:dyDescent="0.2"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</row>
    <row r="28" spans="15:26" x14ac:dyDescent="0.2"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</row>
    <row r="29" spans="15:26" x14ac:dyDescent="0.2"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</row>
    <row r="30" spans="15:26" x14ac:dyDescent="0.2"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</row>
    <row r="31" spans="15:26" x14ac:dyDescent="0.2"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</row>
    <row r="32" spans="15:26" x14ac:dyDescent="0.2"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spans="15:26" x14ac:dyDescent="0.2"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spans="15:26" x14ac:dyDescent="0.2"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spans="15:26" x14ac:dyDescent="0.2"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spans="15:26" x14ac:dyDescent="0.2"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spans="15:26" x14ac:dyDescent="0.2"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spans="15:26" x14ac:dyDescent="0.2"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spans="15:26" x14ac:dyDescent="0.2"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spans="15:26" x14ac:dyDescent="0.2"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spans="15:26" x14ac:dyDescent="0.2"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spans="15:26" x14ac:dyDescent="0.2"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spans="15:26" x14ac:dyDescent="0.2"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spans="15:26" x14ac:dyDescent="0.2"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spans="15:26" x14ac:dyDescent="0.2"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spans="15:26" x14ac:dyDescent="0.2"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spans="15:26" x14ac:dyDescent="0.2"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spans="15:26" x14ac:dyDescent="0.2"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From Jeff</vt:lpstr>
      <vt:lpstr>PPA and Sram</vt:lpstr>
      <vt:lpstr>HD SRAM</vt:lpstr>
      <vt:lpstr>FinFET HD SRAM </vt:lpstr>
      <vt:lpstr>SRAM Pie Chart 1</vt:lpstr>
      <vt:lpstr>SRAM Chart 2</vt:lpstr>
      <vt:lpstr>N6 die pricing</vt:lpstr>
      <vt:lpstr>2.3D with Emb Brdg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Kau, Derchang</cp:lastModifiedBy>
  <cp:revision/>
  <dcterms:created xsi:type="dcterms:W3CDTF">2022-03-27T21:26:51Z</dcterms:created>
  <dcterms:modified xsi:type="dcterms:W3CDTF">2024-09-22T22:04:30Z</dcterms:modified>
  <cp:category/>
  <cp:contentStatus/>
</cp:coreProperties>
</file>