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"/>
    </mc:Choice>
  </mc:AlternateContent>
  <bookViews>
    <workbookView xWindow="10410" yWindow="0" windowWidth="20490" windowHeight="9630"/>
  </bookViews>
  <sheets>
    <sheet name="S37 Requirement" sheetId="1" r:id="rId1"/>
    <sheet name="Array Core Scaling" sheetId="2" r:id="rId2"/>
    <sheet name="Tile Scaling" sheetId="4" r:id="rId3"/>
    <sheet name="Die Size analysis june-2015" sheetId="3" r:id="rId4"/>
  </sheets>
  <calcPr calcId="152511"/>
</workbook>
</file>

<file path=xl/calcChain.xml><?xml version="1.0" encoding="utf-8"?>
<calcChain xmlns="http://schemas.openxmlformats.org/spreadsheetml/2006/main">
  <c r="C52" i="4" l="1"/>
  <c r="C51" i="4"/>
  <c r="C53" i="4" s="1"/>
  <c r="C57" i="4" s="1"/>
  <c r="B52" i="4"/>
  <c r="B51" i="4"/>
  <c r="C47" i="4"/>
  <c r="C46" i="4"/>
  <c r="C37" i="4"/>
  <c r="C36" i="4"/>
  <c r="B53" i="4"/>
  <c r="B57" i="4" s="1"/>
  <c r="B37" i="4"/>
  <c r="B36" i="4"/>
  <c r="H33" i="4" l="1"/>
  <c r="G33" i="4"/>
  <c r="F33" i="4"/>
  <c r="E33" i="4"/>
  <c r="D33" i="4"/>
  <c r="C33" i="4"/>
  <c r="B33" i="4"/>
  <c r="H32" i="4"/>
  <c r="G32" i="4"/>
  <c r="F32" i="4"/>
  <c r="E32" i="4"/>
  <c r="D32" i="4"/>
  <c r="C32" i="4"/>
  <c r="B32" i="4"/>
  <c r="B26" i="4"/>
  <c r="B38" i="4" s="1"/>
  <c r="C26" i="4"/>
  <c r="C38" i="4" s="1"/>
  <c r="C40" i="4" s="1"/>
  <c r="C54" i="4" s="1"/>
  <c r="D26" i="4"/>
  <c r="E26" i="4"/>
  <c r="F26" i="4"/>
  <c r="G26" i="4"/>
  <c r="H26" i="4"/>
  <c r="B27" i="4"/>
  <c r="B39" i="4" s="1"/>
  <c r="B41" i="4" s="1"/>
  <c r="B56" i="4" s="1"/>
  <c r="C27" i="4"/>
  <c r="C39" i="4" s="1"/>
  <c r="C41" i="4" s="1"/>
  <c r="C56" i="4" s="1"/>
  <c r="D27" i="4"/>
  <c r="E27" i="4"/>
  <c r="F27" i="4"/>
  <c r="G27" i="4"/>
  <c r="H27" i="4"/>
  <c r="B28" i="4"/>
  <c r="C28" i="4"/>
  <c r="D28" i="4"/>
  <c r="E28" i="4"/>
  <c r="F28" i="4"/>
  <c r="G28" i="4"/>
  <c r="H28" i="4"/>
  <c r="B29" i="4"/>
  <c r="C29" i="4"/>
  <c r="D29" i="4"/>
  <c r="E29" i="4"/>
  <c r="F29" i="4"/>
  <c r="G29" i="4"/>
  <c r="H29" i="4"/>
  <c r="H23" i="4"/>
  <c r="G23" i="4"/>
  <c r="F23" i="4"/>
  <c r="E23" i="4"/>
  <c r="D23" i="4"/>
  <c r="C23" i="4"/>
  <c r="B23" i="4"/>
  <c r="H22" i="4"/>
  <c r="G22" i="4"/>
  <c r="F22" i="4"/>
  <c r="E22" i="4"/>
  <c r="D22" i="4"/>
  <c r="C22" i="4"/>
  <c r="B22" i="4"/>
  <c r="H21" i="4"/>
  <c r="G21" i="4"/>
  <c r="F21" i="4"/>
  <c r="E21" i="4"/>
  <c r="D21" i="4"/>
  <c r="C21" i="4"/>
  <c r="B21" i="4"/>
  <c r="H20" i="4"/>
  <c r="G20" i="4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D18" i="4"/>
  <c r="C18" i="4"/>
  <c r="B18" i="4"/>
  <c r="H17" i="4"/>
  <c r="G17" i="4"/>
  <c r="F17" i="4"/>
  <c r="E17" i="4"/>
  <c r="D17" i="4"/>
  <c r="C17" i="4"/>
  <c r="B17" i="4"/>
  <c r="H15" i="4"/>
  <c r="G15" i="4"/>
  <c r="F15" i="4"/>
  <c r="E15" i="4"/>
  <c r="D15" i="4"/>
  <c r="C15" i="4"/>
  <c r="B15" i="4"/>
  <c r="H14" i="4"/>
  <c r="G14" i="4"/>
  <c r="F14" i="4"/>
  <c r="E14" i="4"/>
  <c r="D14" i="4"/>
  <c r="C14" i="4"/>
  <c r="B14" i="4"/>
  <c r="H13" i="4"/>
  <c r="G13" i="4"/>
  <c r="F13" i="4"/>
  <c r="E13" i="4"/>
  <c r="D13" i="4"/>
  <c r="C13" i="4"/>
  <c r="B13" i="4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9" i="4"/>
  <c r="G9" i="4"/>
  <c r="F9" i="4"/>
  <c r="E9" i="4"/>
  <c r="D9" i="4"/>
  <c r="C9" i="4"/>
  <c r="B9" i="4"/>
  <c r="H8" i="4"/>
  <c r="G8" i="4"/>
  <c r="F8" i="4"/>
  <c r="E8" i="4"/>
  <c r="D8" i="4"/>
  <c r="C8" i="4"/>
  <c r="B8" i="4"/>
  <c r="H7" i="4"/>
  <c r="G7" i="4"/>
  <c r="F7" i="4"/>
  <c r="E7" i="4"/>
  <c r="D7" i="4"/>
  <c r="C7" i="4"/>
  <c r="B7" i="4"/>
  <c r="H6" i="4"/>
  <c r="G6" i="4"/>
  <c r="F6" i="4"/>
  <c r="E6" i="4"/>
  <c r="D6" i="4"/>
  <c r="C6" i="4"/>
  <c r="B6" i="4"/>
  <c r="H5" i="4"/>
  <c r="G5" i="4"/>
  <c r="F5" i="4"/>
  <c r="E5" i="4"/>
  <c r="D5" i="4"/>
  <c r="C5" i="4"/>
  <c r="B5" i="4"/>
  <c r="H4" i="4"/>
  <c r="G4" i="4"/>
  <c r="F4" i="4"/>
  <c r="E4" i="4"/>
  <c r="D4" i="4"/>
  <c r="C4" i="4"/>
  <c r="B4" i="4"/>
  <c r="H3" i="4"/>
  <c r="G3" i="4"/>
  <c r="F3" i="4"/>
  <c r="E3" i="4"/>
  <c r="D3" i="4"/>
  <c r="C3" i="4"/>
  <c r="B3" i="4"/>
  <c r="H2" i="4"/>
  <c r="G2" i="4"/>
  <c r="F2" i="4"/>
  <c r="E2" i="4"/>
  <c r="D2" i="4"/>
  <c r="C2" i="4"/>
  <c r="B2" i="4"/>
  <c r="C58" i="4" l="1"/>
  <c r="B40" i="4"/>
  <c r="H32" i="2"/>
  <c r="H33" i="2" s="1"/>
  <c r="H5" i="2" s="1"/>
  <c r="H9" i="2" s="1"/>
  <c r="H29" i="2"/>
  <c r="H15" i="2" s="1"/>
  <c r="H28" i="2"/>
  <c r="H14" i="2" s="1"/>
  <c r="H22" i="2"/>
  <c r="H23" i="2" s="1"/>
  <c r="H19" i="2"/>
  <c r="H20" i="2" s="1"/>
  <c r="H12" i="2"/>
  <c r="H2" i="2"/>
  <c r="B54" i="4" l="1"/>
  <c r="B58" i="4" s="1"/>
  <c r="H10" i="2"/>
  <c r="H13" i="2" s="1"/>
  <c r="G9" i="2"/>
  <c r="F9" i="2"/>
  <c r="E9" i="2"/>
  <c r="D9" i="2"/>
  <c r="C9" i="2"/>
  <c r="B9" i="2"/>
  <c r="B5" i="2"/>
  <c r="D33" i="2"/>
  <c r="D32" i="2"/>
  <c r="D5" i="2"/>
  <c r="B32" i="2"/>
  <c r="G22" i="2"/>
  <c r="F22" i="2"/>
  <c r="E22" i="2"/>
  <c r="D22" i="2"/>
  <c r="D23" i="2" s="1"/>
  <c r="G19" i="2"/>
  <c r="F19" i="2"/>
  <c r="F23" i="2" s="1"/>
  <c r="E19" i="2"/>
  <c r="D19" i="2"/>
  <c r="C19" i="2"/>
  <c r="C22" i="2"/>
  <c r="C23" i="2" s="1"/>
  <c r="B22" i="2"/>
  <c r="B20" i="2"/>
  <c r="B19" i="2"/>
  <c r="D8" i="2"/>
  <c r="G23" i="2"/>
  <c r="E23" i="2"/>
  <c r="G20" i="2"/>
  <c r="E20" i="2"/>
  <c r="D20" i="2"/>
  <c r="C20" i="2"/>
  <c r="E7" i="2"/>
  <c r="D29" i="2"/>
  <c r="D28" i="2"/>
  <c r="D14" i="2" s="1"/>
  <c r="D15" i="2"/>
  <c r="D12" i="2"/>
  <c r="D2" i="2"/>
  <c r="H8" i="2" l="1"/>
  <c r="F20" i="2"/>
  <c r="B23" i="2"/>
  <c r="D13" i="2"/>
  <c r="C29" i="2" l="1"/>
  <c r="C15" i="2" s="1"/>
  <c r="B29" i="2"/>
  <c r="B15" i="2" s="1"/>
  <c r="G28" i="2"/>
  <c r="G14" i="2" s="1"/>
  <c r="G32" i="2"/>
  <c r="G33" i="2" s="1"/>
  <c r="G5" i="2" s="1"/>
  <c r="G29" i="2"/>
  <c r="G15" i="2" s="1"/>
  <c r="G12" i="2"/>
  <c r="G2" i="2"/>
  <c r="F32" i="2" l="1"/>
  <c r="F33" i="2" s="1"/>
  <c r="F5" i="2" s="1"/>
  <c r="F29" i="2"/>
  <c r="F15" i="2" s="1"/>
  <c r="F28" i="2"/>
  <c r="F14" i="2" s="1"/>
  <c r="F12" i="2"/>
  <c r="E12" i="2"/>
  <c r="C12" i="2"/>
  <c r="B12" i="2"/>
  <c r="B10" i="2"/>
  <c r="E2" i="2"/>
  <c r="E32" i="2"/>
  <c r="E33" i="2" s="1"/>
  <c r="E5" i="2" s="1"/>
  <c r="E29" i="2"/>
  <c r="E15" i="2" s="1"/>
  <c r="E8" i="2" s="1"/>
  <c r="E28" i="2"/>
  <c r="E14" i="2" s="1"/>
  <c r="B28" i="3"/>
  <c r="B23" i="3"/>
  <c r="B24" i="3"/>
  <c r="B12" i="3"/>
  <c r="B22" i="3"/>
  <c r="B18" i="3"/>
  <c r="B21" i="3"/>
  <c r="N33" i="3"/>
  <c r="K33" i="3"/>
  <c r="J33" i="3"/>
  <c r="I33" i="3"/>
  <c r="G33" i="3"/>
  <c r="C33" i="3"/>
  <c r="N32" i="3"/>
  <c r="M32" i="3"/>
  <c r="L32" i="3"/>
  <c r="K32" i="3"/>
  <c r="J32" i="3"/>
  <c r="I32" i="3"/>
  <c r="H32" i="3"/>
  <c r="G32" i="3"/>
  <c r="F32" i="3"/>
  <c r="E32" i="3"/>
  <c r="B31" i="3"/>
  <c r="O30" i="3"/>
  <c r="L30" i="3"/>
  <c r="K30" i="3"/>
  <c r="J30" i="3"/>
  <c r="L23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L21" i="3"/>
  <c r="R20" i="3"/>
  <c r="Q20" i="3"/>
  <c r="N20" i="3"/>
  <c r="M20" i="3"/>
  <c r="J20" i="3"/>
  <c r="I20" i="3"/>
  <c r="F20" i="3"/>
  <c r="E20" i="3"/>
  <c r="B20" i="3"/>
  <c r="T17" i="3"/>
  <c r="S17" i="3"/>
  <c r="S20" i="3" s="1"/>
  <c r="R17" i="3"/>
  <c r="Q17" i="3"/>
  <c r="P17" i="3"/>
  <c r="P20" i="3" s="1"/>
  <c r="O17" i="3"/>
  <c r="O20" i="3" s="1"/>
  <c r="N17" i="3"/>
  <c r="M17" i="3"/>
  <c r="L17" i="3"/>
  <c r="L18" i="3" s="1"/>
  <c r="L24" i="3" s="1"/>
  <c r="L28" i="3" s="1"/>
  <c r="K17" i="3"/>
  <c r="K20" i="3" s="1"/>
  <c r="J17" i="3"/>
  <c r="I17" i="3"/>
  <c r="H17" i="3"/>
  <c r="H20" i="3" s="1"/>
  <c r="G17" i="3"/>
  <c r="G20" i="3" s="1"/>
  <c r="F17" i="3"/>
  <c r="E17" i="3"/>
  <c r="D17" i="3"/>
  <c r="D20" i="3" s="1"/>
  <c r="C17" i="3"/>
  <c r="C20" i="3" s="1"/>
  <c r="B17" i="3"/>
  <c r="S12" i="3"/>
  <c r="S23" i="3" s="1"/>
  <c r="O12" i="3"/>
  <c r="O23" i="3" s="1"/>
  <c r="N12" i="3"/>
  <c r="N23" i="3" s="1"/>
  <c r="L12" i="3"/>
  <c r="K12" i="3"/>
  <c r="K23" i="3" s="1"/>
  <c r="J12" i="3"/>
  <c r="J23" i="3" s="1"/>
  <c r="G12" i="3"/>
  <c r="G23" i="3" s="1"/>
  <c r="C12" i="3"/>
  <c r="C23" i="3" s="1"/>
  <c r="T11" i="3"/>
  <c r="S11" i="3"/>
  <c r="R11" i="3"/>
  <c r="R12" i="3" s="1"/>
  <c r="Q11" i="3"/>
  <c r="P11" i="3"/>
  <c r="N11" i="3"/>
  <c r="M11" i="3"/>
  <c r="I11" i="3"/>
  <c r="H11" i="3"/>
  <c r="G11" i="3"/>
  <c r="F11" i="3"/>
  <c r="F12" i="3" s="1"/>
  <c r="E11" i="3"/>
  <c r="D11" i="3"/>
  <c r="C11" i="3"/>
  <c r="B11" i="3"/>
  <c r="T10" i="3"/>
  <c r="T12" i="3" s="1"/>
  <c r="T18" i="3" s="1"/>
  <c r="T24" i="3" s="1"/>
  <c r="T28" i="3" s="1"/>
  <c r="S10" i="3"/>
  <c r="R10" i="3"/>
  <c r="Q10" i="3"/>
  <c r="Q12" i="3" s="1"/>
  <c r="P10" i="3"/>
  <c r="P12" i="3" s="1"/>
  <c r="N10" i="3"/>
  <c r="M33" i="3" s="1"/>
  <c r="M10" i="3"/>
  <c r="M12" i="3" s="1"/>
  <c r="I10" i="3"/>
  <c r="I12" i="3" s="1"/>
  <c r="H10" i="3"/>
  <c r="H12" i="3" s="1"/>
  <c r="G10" i="3"/>
  <c r="F33" i="3" s="1"/>
  <c r="F10" i="3"/>
  <c r="E33" i="3" s="1"/>
  <c r="E10" i="3"/>
  <c r="E12" i="3" s="1"/>
  <c r="D10" i="3"/>
  <c r="D12" i="3" s="1"/>
  <c r="C10" i="3"/>
  <c r="B10" i="3"/>
  <c r="B33" i="3" s="1"/>
  <c r="G10" i="2" l="1"/>
  <c r="G8" i="2" s="1"/>
  <c r="E13" i="2"/>
  <c r="E23" i="3"/>
  <c r="E21" i="3"/>
  <c r="E18" i="3"/>
  <c r="E24" i="3" s="1"/>
  <c r="E28" i="3" s="1"/>
  <c r="Q18" i="3"/>
  <c r="Q24" i="3" s="1"/>
  <c r="Q28" i="3" s="1"/>
  <c r="Q23" i="3"/>
  <c r="Q21" i="3"/>
  <c r="R23" i="3"/>
  <c r="R21" i="3"/>
  <c r="R18" i="3"/>
  <c r="R24" i="3" s="1"/>
  <c r="R28" i="3" s="1"/>
  <c r="M23" i="3"/>
  <c r="M21" i="3"/>
  <c r="M18" i="3"/>
  <c r="M24" i="3" s="1"/>
  <c r="M28" i="3" s="1"/>
  <c r="I18" i="3"/>
  <c r="I24" i="3" s="1"/>
  <c r="I28" i="3" s="1"/>
  <c r="I23" i="3"/>
  <c r="I21" i="3"/>
  <c r="F23" i="3"/>
  <c r="F21" i="3"/>
  <c r="F18" i="3"/>
  <c r="F24" i="3" s="1"/>
  <c r="F28" i="3" s="1"/>
  <c r="D18" i="3"/>
  <c r="D24" i="3" s="1"/>
  <c r="D28" i="3" s="1"/>
  <c r="D21" i="3"/>
  <c r="D23" i="3"/>
  <c r="H18" i="3"/>
  <c r="H24" i="3" s="1"/>
  <c r="H28" i="3" s="1"/>
  <c r="H23" i="3"/>
  <c r="H21" i="3"/>
  <c r="P18" i="3"/>
  <c r="P24" i="3" s="1"/>
  <c r="P28" i="3" s="1"/>
  <c r="P21" i="3"/>
  <c r="P23" i="3"/>
  <c r="H30" i="3"/>
  <c r="J18" i="3"/>
  <c r="J24" i="3" s="1"/>
  <c r="J28" i="3" s="1"/>
  <c r="N18" i="3"/>
  <c r="N24" i="3" s="1"/>
  <c r="N28" i="3" s="1"/>
  <c r="I30" i="3"/>
  <c r="M30" i="3"/>
  <c r="D33" i="3"/>
  <c r="H33" i="3"/>
  <c r="L33" i="3"/>
  <c r="C18" i="3"/>
  <c r="C24" i="3" s="1"/>
  <c r="C28" i="3" s="1"/>
  <c r="G18" i="3"/>
  <c r="G24" i="3" s="1"/>
  <c r="G28" i="3" s="1"/>
  <c r="K18" i="3"/>
  <c r="K24" i="3" s="1"/>
  <c r="K28" i="3" s="1"/>
  <c r="O18" i="3"/>
  <c r="O24" i="3" s="1"/>
  <c r="O28" i="3" s="1"/>
  <c r="S18" i="3"/>
  <c r="S24" i="3" s="1"/>
  <c r="S28" i="3" s="1"/>
  <c r="L20" i="3"/>
  <c r="J21" i="3"/>
  <c r="N21" i="3"/>
  <c r="F30" i="3"/>
  <c r="N30" i="3"/>
  <c r="C21" i="3"/>
  <c r="G21" i="3"/>
  <c r="K21" i="3"/>
  <c r="O21" i="3"/>
  <c r="S21" i="3"/>
  <c r="G30" i="3"/>
  <c r="G13" i="2" l="1"/>
  <c r="F10" i="2"/>
  <c r="F13" i="2" s="1"/>
  <c r="C32" i="2"/>
  <c r="C33" i="2" s="1"/>
  <c r="C5" i="2" s="1"/>
  <c r="C28" i="2"/>
  <c r="C14" i="2" s="1"/>
  <c r="C8" i="2" s="1"/>
  <c r="B28" i="2"/>
  <c r="C2" i="2"/>
  <c r="B2" i="2"/>
  <c r="F8" i="2" l="1"/>
  <c r="B33" i="2"/>
  <c r="B13" i="2" s="1"/>
  <c r="B14" i="2"/>
  <c r="B8" i="2" s="1"/>
  <c r="C13" i="2"/>
</calcChain>
</file>

<file path=xl/sharedStrings.xml><?xml version="1.0" encoding="utf-8"?>
<sst xmlns="http://schemas.openxmlformats.org/spreadsheetml/2006/main" count="231" uniqueCount="169">
  <si>
    <t xml:space="preserve">Die size  </t>
  </si>
  <si>
    <t>Density</t>
  </si>
  <si>
    <t># of Deck</t>
  </si>
  <si>
    <t>S26</t>
  </si>
  <si>
    <t>S37</t>
  </si>
  <si>
    <t>Product Attributes</t>
  </si>
  <si>
    <r>
      <t>200mm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</si>
  <si>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r>
      <t>200 mm</t>
    </r>
    <r>
      <rPr>
        <vertAlign val="superscript"/>
        <sz val="11"/>
        <color theme="1"/>
        <rFont val="Calibri"/>
        <family val="2"/>
        <scheme val="minor"/>
      </rPr>
      <t xml:space="preserve">2 </t>
    </r>
  </si>
  <si>
    <t>256 Gb</t>
  </si>
  <si>
    <t>512 Gb</t>
  </si>
  <si>
    <t xml:space="preserve"> 49 pJ/b</t>
  </si>
  <si>
    <t xml:space="preserve">111 pJ/b </t>
  </si>
  <si>
    <t>Read Completion Time</t>
  </si>
  <si>
    <t xml:space="preserve">Write Completion Time  </t>
  </si>
  <si>
    <t>95 ns</t>
  </si>
  <si>
    <t xml:space="preserve">475 ns </t>
  </si>
  <si>
    <t>Read Bandwidth</t>
  </si>
  <si>
    <t>I/O width</t>
  </si>
  <si>
    <t>X8</t>
  </si>
  <si>
    <t>Transfer Rate</t>
  </si>
  <si>
    <t>Write Bandwidth</t>
  </si>
  <si>
    <t>double density</t>
  </si>
  <si>
    <t>Pitch Quad. Tool/cost driven</t>
  </si>
  <si>
    <t>socket driven</t>
  </si>
  <si>
    <t>Power limited</t>
  </si>
  <si>
    <t>81 PJ/b</t>
  </si>
  <si>
    <r>
      <t>Write Energy@85</t>
    </r>
    <r>
      <rPr>
        <sz val="11"/>
        <color rgb="FFFF0000"/>
        <rFont val="Calibri"/>
        <family val="2"/>
      </rPr>
      <t>°C (TT)</t>
    </r>
  </si>
  <si>
    <t>33 pJ/b</t>
  </si>
  <si>
    <t>80 ns</t>
  </si>
  <si>
    <t>Why?</t>
  </si>
  <si>
    <r>
      <t>Read Energy@85</t>
    </r>
    <r>
      <rPr>
        <sz val="11"/>
        <color rgb="FFFF0000"/>
        <rFont val="Calibri"/>
        <family val="2"/>
      </rPr>
      <t>°C (TT)</t>
    </r>
  </si>
  <si>
    <t xml:space="preserve">parallelism (512B) in write latency (465ns) </t>
  </si>
  <si>
    <t>S37 product architceture considerations</t>
  </si>
  <si>
    <t>Power/BW driven</t>
  </si>
  <si>
    <t>Power</t>
  </si>
  <si>
    <t>Parallelism</t>
  </si>
  <si>
    <t>512 B</t>
  </si>
  <si>
    <t>SXP Pileline Architecture: 1b/T * T/P * # of P</t>
  </si>
  <si>
    <t>Supply, thermal, package limited</t>
  </si>
  <si>
    <t>up one notch within DDR4 electrical performance</t>
  </si>
  <si>
    <t>S37 - Alt.</t>
  </si>
  <si>
    <t>1 KB</t>
  </si>
  <si>
    <t>41 PJ/b</t>
  </si>
  <si>
    <t>128 Gb</t>
  </si>
  <si>
    <t>256 B</t>
  </si>
  <si>
    <t>S15</t>
  </si>
  <si>
    <t>Array Attributes</t>
  </si>
  <si>
    <t># of Partitions</t>
  </si>
  <si>
    <t># of Slice</t>
  </si>
  <si>
    <t>half pitch [nm]</t>
  </si>
  <si>
    <r>
      <t>Array net area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</si>
  <si>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t># of deck</t>
  </si>
  <si>
    <t>Stack configuration</t>
  </si>
  <si>
    <t>Common BL</t>
  </si>
  <si>
    <t>Common BL, bi-layer</t>
  </si>
  <si>
    <t># of WL per tile per deck</t>
  </si>
  <si>
    <t># of BL per tile per deck</t>
  </si>
  <si>
    <t># of LWL driver per tile</t>
  </si>
  <si>
    <t># of LBL driver per tile</t>
  </si>
  <si>
    <t>Tile density [Mb]</t>
  </si>
  <si>
    <t>Socket configuration</t>
  </si>
  <si>
    <t>Edge</t>
  </si>
  <si>
    <t>Quilt</t>
  </si>
  <si>
    <t>Item</t>
  </si>
  <si>
    <t>4Kx4K           S26</t>
  </si>
  <si>
    <t>4Kx4K         S25</t>
  </si>
  <si>
    <t>4Kx4K         S24</t>
  </si>
  <si>
    <t>4Kx4K         S24 Optimized 2 decks</t>
  </si>
  <si>
    <t>15nm - 256 x 32 4Kx4K array limited</t>
  </si>
  <si>
    <t>14nm - 256 x 32 4Kx4K array limited</t>
  </si>
  <si>
    <t>14nm - 256 x 16 4Kx4K array limited2</t>
  </si>
  <si>
    <t>14nm Chop - 128 x 32 4Kx4K array limited (simple chop: CMOS fits under one tile)</t>
  </si>
  <si>
    <t>14nm Chop - 128 x 32 4Kx4K array limited (tile re-layout chop: CMOS fits under two tiles in the base)</t>
  </si>
  <si>
    <t>14nm Chop Chop - 128 x 32 4Kx4K array limited (tile re-layout chop: CMOS fits under two tiles in the base)2</t>
  </si>
  <si>
    <t>15nm Chop - 128 x 32 4Kx4K array limited (tile re-layout chop: CMOS fits under two tiles in the base)2</t>
  </si>
  <si>
    <t>14nm - 256 x 32 4Kx4K CMOS limited (No CMOS scaling)</t>
  </si>
  <si>
    <t>14nm Chop - 256 x 32 4Kx4K CMOS limited (No CMOS scaling)</t>
  </si>
  <si>
    <t>14nm Chop - 256 x 32 4Kx4K CMOS limited (5% CMOS scaling)</t>
  </si>
  <si>
    <t>14nm - 128x32 4Kx8K array limited</t>
  </si>
  <si>
    <t>14nm - 128x32 4Kx8K2 CMOS limited (No CMOS scaling)</t>
  </si>
  <si>
    <t>14nm - 128 x 64 4Kx4K</t>
  </si>
  <si>
    <t>2Kx4K</t>
  </si>
  <si>
    <t>Column2</t>
  </si>
  <si>
    <t>Comments</t>
  </si>
  <si>
    <t>Litho (nm)</t>
  </si>
  <si>
    <t>Number of active WL's</t>
  </si>
  <si>
    <t>Number of redundant WL's</t>
  </si>
  <si>
    <t>Number of Dummy WL's</t>
  </si>
  <si>
    <t>8 next to the socket; 4 at the edge of the X/Y decoders</t>
  </si>
  <si>
    <t>Number of active BL's</t>
  </si>
  <si>
    <t>Number of redundant BL's</t>
  </si>
  <si>
    <t>Number of Dummy BL's</t>
  </si>
  <si>
    <t>Socket Size (lambda)</t>
  </si>
  <si>
    <t>Patch Size (WL Direction)</t>
  </si>
  <si>
    <t>Patch Size (BL Direction)</t>
  </si>
  <si>
    <t>Patch Area (um^2)</t>
  </si>
  <si>
    <t>Number of patches (WL Direction)</t>
  </si>
  <si>
    <t>Number of patches (BL Direction)</t>
  </si>
  <si>
    <t>Number of patches in termination (WL Direction)</t>
  </si>
  <si>
    <t>Number of patches in termination (BL Direction)</t>
  </si>
  <si>
    <t>PCU Area per partition (um^2)</t>
  </si>
  <si>
    <t>Partition Area (mm^2)</t>
  </si>
  <si>
    <t>Partitions</t>
  </si>
  <si>
    <t>Low confidence we can hit these best case numbers; Fitting diffusion and routing will be a challenge</t>
  </si>
  <si>
    <t>CMOS scaling</t>
  </si>
  <si>
    <t>White space for patch circuits</t>
  </si>
  <si>
    <t>Cell area</t>
  </si>
  <si>
    <t>Needed patch white space for circuits under 2 tiles</t>
  </si>
  <si>
    <t>Termination area</t>
  </si>
  <si>
    <t>PCU Area (mm^2)</t>
  </si>
  <si>
    <t>termination area (mm^2)</t>
  </si>
  <si>
    <t>net memory area (mm^2)</t>
  </si>
  <si>
    <t>net patch area (mm^2)</t>
  </si>
  <si>
    <t>Core Area (mm^2)</t>
  </si>
  <si>
    <t>Periphery (mm^2)</t>
  </si>
  <si>
    <t>PADs (mm^2)</t>
  </si>
  <si>
    <t>Scribe &amp; Seal Ring (mm^2)</t>
  </si>
  <si>
    <t>Best case Die Area (mm^2)</t>
  </si>
  <si>
    <r>
      <t>Core area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</si>
  <si>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Effective Cell Size (core) [λ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</si>
  <si>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periphery, pad, scribe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</si>
  <si>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r>
      <t>Die Size [mm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</si>
  <si>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t># of WL Drivers per die [M/die]</t>
  </si>
  <si>
    <t># of BL Drivers per die [M/die]</t>
  </si>
  <si>
    <t>S15 2KX4K</t>
  </si>
  <si>
    <t>S26 4KX4K</t>
  </si>
  <si>
    <t>Periphey area shrink (%)</t>
  </si>
  <si>
    <t>Accessibility [# bit / tile]</t>
  </si>
  <si>
    <t># tile / partition / slice</t>
  </si>
  <si>
    <t>Pipeline Parallelism (Byte)</t>
  </si>
  <si>
    <t>14nm 4KX4K Periphey scaling = 100%</t>
  </si>
  <si>
    <t>14nm 2KX4K Periphey scaling = 70%</t>
  </si>
  <si>
    <t>14nm 4KX4K Periphey scaling = 82% (= CMOS 85%)</t>
  </si>
  <si>
    <t>15nm 4KX4K Periphey scaling = 82% (= CMOS 85%)</t>
  </si>
  <si>
    <t xml:space="preserve">Write Thruput @ 465ns cycle time  [MiB/sec] </t>
  </si>
  <si>
    <t>Granularity  (# Bytes/ partition)</t>
  </si>
  <si>
    <t>1600MiT/s</t>
  </si>
  <si>
    <t>2400MiT/s</t>
  </si>
  <si>
    <t>X8 or X16</t>
  </si>
  <si>
    <t>1600MiB/s</t>
  </si>
  <si>
    <t>2400MiB/s</t>
  </si>
  <si>
    <t>550MiB/s</t>
  </si>
  <si>
    <t>800MiB/s</t>
  </si>
  <si>
    <t>1100MiB/s</t>
  </si>
  <si>
    <t>2200 MiB/s</t>
  </si>
  <si>
    <t>Partition density [GB]</t>
  </si>
  <si>
    <t>Array Density [GB]</t>
  </si>
  <si>
    <r>
      <t>Plannar Cell Size [λ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]</t>
    </r>
  </si>
  <si>
    <t>14nm 4KX2K Periphey scaling = 70%</t>
  </si>
  <si>
    <t>Worst Case BL scoket to First bit [# of cell]</t>
  </si>
  <si>
    <t>Worst Case WL scoket to First bit [# of cell]</t>
  </si>
  <si>
    <t>WL Length (Near-Far)  [# of cell]</t>
  </si>
  <si>
    <t>BL Length (Far ED) [# of cell]</t>
  </si>
  <si>
    <t>WL Length (Far ED) [# of cell]</t>
  </si>
  <si>
    <r>
      <t>BL Resistance [</t>
    </r>
    <r>
      <rPr>
        <sz val="11"/>
        <rFont val="Calibri"/>
        <family val="2"/>
      </rPr>
      <t>Ω/cell]</t>
    </r>
  </si>
  <si>
    <r>
      <t>WL Resistance [</t>
    </r>
    <r>
      <rPr>
        <sz val="11"/>
        <rFont val="Calibri"/>
        <family val="2"/>
      </rPr>
      <t>Ω/cell]</t>
    </r>
  </si>
  <si>
    <t>Far ED BL Resistance [KΩ]</t>
  </si>
  <si>
    <t>Far ED WL Resistance [KΩ]</t>
  </si>
  <si>
    <t>Far-Far Array Parasistics Resistance [KΩ]</t>
  </si>
  <si>
    <t>Near ED BL Resistance [KΩ]</t>
  </si>
  <si>
    <t>Near ED WL Resistance [KΩ]</t>
  </si>
  <si>
    <t>BL Length (Near-Far) [# of cell]</t>
  </si>
  <si>
    <t>Near-Near Array Parasistics Resistance [KΩ]</t>
  </si>
  <si>
    <t>BL Height [nm]</t>
  </si>
  <si>
    <t>WL Height [nm]</t>
  </si>
  <si>
    <t>Resistance Scaling Factors</t>
  </si>
  <si>
    <r>
      <t>BL Ref. Resistance (S15) [</t>
    </r>
    <r>
      <rPr>
        <sz val="11"/>
        <rFont val="Calibri"/>
        <family val="2"/>
      </rPr>
      <t>Ω/cell]</t>
    </r>
  </si>
  <si>
    <r>
      <t>WL Ref. Resistance (S15) [</t>
    </r>
    <r>
      <rPr>
        <sz val="11"/>
        <rFont val="Calibri"/>
        <family val="2"/>
      </rPr>
      <t>Ω/cell]</t>
    </r>
  </si>
  <si>
    <t>footprint backward compatible (package limitation)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</si>
</sst>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FF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>
        <fgColor theme="0"/>
      </patternFill>
    </fill>
    <fill>
      <patternFill patternType="mediumGray">
        <fgColor theme="0"/>
        <bgColor rgb="FFFF0000"/>
      </patternFill>
    </fill>
    <fill>
      <patternFill patternType="mediumGray">
        <fgColor theme="0"/>
        <bgColor rgb="FFFFFF00"/>
      </patternFill>
    </fill>
    <fill>
      <patternFill patternType="mediumGray">
        <fgColor theme="1"/>
      </patternFill>
    </fill>
    <fill>
      <patternFill patternType="mediumGray">
        <fgColor theme="1"/>
        <bgColor rgb="FFFFFF00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left" vertical="top" wrapText="1"/>
    </xf>
    <xf numFmtId="0" fontId="0" fillId="0" borderId="13" xfId="0" applyBorder="1" applyAlignment="1">
      <alignment horizontal="center" vertical="top" wrapText="1"/>
    </xf>
    <xf numFmtId="0" fontId="18" fillId="0" borderId="14" xfId="0" applyFont="1" applyBorder="1" applyAlignment="1">
      <alignment horizontal="right" vertical="top" wrapText="1"/>
    </xf>
    <xf numFmtId="0" fontId="18" fillId="0" borderId="10" xfId="0" applyFont="1" applyBorder="1" applyAlignment="1">
      <alignment horizontal="center" vertical="top" wrapText="1"/>
    </xf>
    <xf numFmtId="164" fontId="18" fillId="0" borderId="10" xfId="0" applyNumberFormat="1" applyFont="1" applyBorder="1" applyAlignment="1">
      <alignment horizontal="center" vertical="top" wrapText="1"/>
    </xf>
    <xf numFmtId="164" fontId="18" fillId="0" borderId="10" xfId="0" applyNumberFormat="1" applyFont="1" applyBorder="1" applyAlignment="1">
      <alignment horizontal="right" vertical="top" wrapText="1"/>
    </xf>
    <xf numFmtId="0" fontId="18" fillId="0" borderId="10" xfId="0" applyFont="1" applyBorder="1" applyAlignment="1">
      <alignment horizontal="right"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horizontal="left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right" vertical="top" wrapText="1"/>
    </xf>
    <xf numFmtId="0" fontId="23" fillId="0" borderId="14" xfId="0" applyFont="1" applyBorder="1" applyAlignment="1">
      <alignment horizontal="right" vertical="top" wrapText="1"/>
    </xf>
    <xf numFmtId="0" fontId="23" fillId="0" borderId="10" xfId="0" applyFont="1" applyBorder="1" applyAlignment="1">
      <alignment horizontal="right" vertical="top" wrapText="1"/>
    </xf>
    <xf numFmtId="0" fontId="23" fillId="0" borderId="10" xfId="0" applyFont="1" applyBorder="1" applyAlignment="1">
      <alignment horizontal="center" vertical="top" wrapText="1"/>
    </xf>
    <xf numFmtId="0" fontId="23" fillId="0" borderId="16" xfId="0" applyFont="1" applyBorder="1" applyAlignment="1">
      <alignment horizontal="right" vertical="top" wrapText="1"/>
    </xf>
    <xf numFmtId="0" fontId="23" fillId="0" borderId="17" xfId="0" applyFont="1" applyBorder="1" applyAlignment="1">
      <alignment horizontal="right" vertical="top" wrapText="1"/>
    </xf>
    <xf numFmtId="0" fontId="16" fillId="0" borderId="18" xfId="0" applyFont="1" applyBorder="1" applyAlignment="1">
      <alignment horizontal="left" vertical="top" wrapText="1"/>
    </xf>
    <xf numFmtId="0" fontId="16" fillId="0" borderId="15" xfId="0" applyFont="1" applyBorder="1" applyAlignment="1">
      <alignment vertical="top" wrapText="1"/>
    </xf>
    <xf numFmtId="0" fontId="18" fillId="0" borderId="16" xfId="0" applyFont="1" applyBorder="1" applyAlignment="1">
      <alignment horizontal="right" vertical="top" wrapText="1"/>
    </xf>
    <xf numFmtId="0" fontId="18" fillId="0" borderId="17" xfId="0" applyFont="1" applyBorder="1" applyAlignment="1">
      <alignment horizontal="center" vertical="top" wrapText="1"/>
    </xf>
    <xf numFmtId="0" fontId="18" fillId="0" borderId="17" xfId="0" applyFont="1" applyBorder="1" applyAlignment="1">
      <alignment horizontal="right" vertical="top" wrapText="1"/>
    </xf>
    <xf numFmtId="0" fontId="0" fillId="0" borderId="18" xfId="0" applyBorder="1" applyAlignment="1">
      <alignment vertical="top" wrapText="1"/>
    </xf>
    <xf numFmtId="0" fontId="0" fillId="0" borderId="0" xfId="0" applyBorder="1"/>
    <xf numFmtId="0" fontId="14" fillId="0" borderId="14" xfId="0" applyFont="1" applyBorder="1" applyAlignment="1">
      <alignment horizontal="right" vertical="top" wrapText="1"/>
    </xf>
    <xf numFmtId="0" fontId="23" fillId="0" borderId="17" xfId="0" applyFont="1" applyBorder="1" applyAlignment="1">
      <alignment horizontal="center" vertical="top" wrapText="1"/>
    </xf>
    <xf numFmtId="0" fontId="18" fillId="33" borderId="10" xfId="0" applyFont="1" applyFill="1" applyBorder="1" applyAlignment="1">
      <alignment horizontal="right" vertical="center" wrapText="1"/>
    </xf>
    <xf numFmtId="0" fontId="0" fillId="33" borderId="10" xfId="0" applyFill="1" applyBorder="1" applyAlignment="1">
      <alignment horizontal="center" vertical="center" wrapText="1"/>
    </xf>
    <xf numFmtId="0" fontId="0" fillId="33" borderId="0" xfId="0" applyFill="1" applyAlignment="1">
      <alignment vertical="center" wrapText="1"/>
    </xf>
    <xf numFmtId="0" fontId="18" fillId="33" borderId="10" xfId="0" applyFont="1" applyFill="1" applyBorder="1" applyAlignment="1">
      <alignment horizontal="right"/>
    </xf>
    <xf numFmtId="0" fontId="0" fillId="33" borderId="10" xfId="0" applyFill="1" applyBorder="1" applyAlignment="1">
      <alignment horizontal="center"/>
    </xf>
    <xf numFmtId="0" fontId="0" fillId="33" borderId="0" xfId="0" applyFill="1"/>
    <xf numFmtId="9" fontId="0" fillId="33" borderId="10" xfId="0" applyNumberFormat="1" applyFill="1" applyBorder="1" applyAlignment="1">
      <alignment horizontal="center"/>
    </xf>
    <xf numFmtId="9" fontId="0" fillId="33" borderId="10" xfId="42" applyFont="1" applyFill="1" applyBorder="1" applyAlignment="1">
      <alignment horizontal="center"/>
    </xf>
    <xf numFmtId="1" fontId="0" fillId="33" borderId="10" xfId="0" applyNumberFormat="1" applyFill="1" applyBorder="1" applyAlignment="1">
      <alignment horizontal="center"/>
    </xf>
    <xf numFmtId="2" fontId="0" fillId="33" borderId="10" xfId="0" applyNumberForma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3" borderId="0" xfId="0" applyFont="1" applyFill="1" applyAlignment="1">
      <alignment horizontal="right"/>
    </xf>
    <xf numFmtId="0" fontId="0" fillId="33" borderId="0" xfId="0" applyFill="1" applyAlignment="1">
      <alignment horizontal="center"/>
    </xf>
    <xf numFmtId="0" fontId="18" fillId="33" borderId="0" xfId="0" applyFont="1" applyFill="1" applyAlignment="1">
      <alignment horizontal="center"/>
    </xf>
    <xf numFmtId="1" fontId="0" fillId="34" borderId="10" xfId="0" applyNumberFormat="1" applyFill="1" applyBorder="1" applyAlignment="1">
      <alignment horizontal="center"/>
    </xf>
    <xf numFmtId="0" fontId="0" fillId="33" borderId="10" xfId="0" applyFill="1" applyBorder="1" applyAlignment="1">
      <alignment horizontal="right"/>
    </xf>
    <xf numFmtId="0" fontId="0" fillId="33" borderId="10" xfId="0" applyFill="1" applyBorder="1"/>
    <xf numFmtId="0" fontId="14" fillId="33" borderId="10" xfId="0" applyFont="1" applyFill="1" applyBorder="1" applyAlignment="1">
      <alignment horizontal="right"/>
    </xf>
    <xf numFmtId="0" fontId="0" fillId="33" borderId="0" xfId="0" applyFill="1" applyAlignment="1">
      <alignment horizontal="right"/>
    </xf>
    <xf numFmtId="0" fontId="19" fillId="33" borderId="0" xfId="0" applyFont="1" applyFill="1" applyAlignment="1">
      <alignment vertical="center"/>
    </xf>
    <xf numFmtId="0" fontId="0" fillId="34" borderId="10" xfId="0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9" fontId="0" fillId="35" borderId="10" xfId="42" applyFont="1" applyFill="1" applyBorder="1" applyAlignment="1">
      <alignment horizontal="center"/>
    </xf>
    <xf numFmtId="0" fontId="0" fillId="36" borderId="10" xfId="0" applyFill="1" applyBorder="1" applyAlignment="1">
      <alignment horizontal="center" vertical="center" wrapText="1"/>
    </xf>
    <xf numFmtId="0" fontId="0" fillId="36" borderId="10" xfId="0" applyFill="1" applyBorder="1" applyAlignment="1">
      <alignment horizontal="center"/>
    </xf>
    <xf numFmtId="9" fontId="0" fillId="37" borderId="10" xfId="42" applyFont="1" applyFill="1" applyBorder="1" applyAlignment="1">
      <alignment horizontal="center"/>
    </xf>
    <xf numFmtId="1" fontId="0" fillId="36" borderId="10" xfId="0" applyNumberFormat="1" applyFill="1" applyBorder="1" applyAlignment="1">
      <alignment horizontal="center"/>
    </xf>
    <xf numFmtId="2" fontId="0" fillId="36" borderId="10" xfId="0" applyNumberForma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6" borderId="0" xfId="0" applyFont="1" applyFill="1" applyAlignment="1">
      <alignment horizontal="center"/>
    </xf>
    <xf numFmtId="164" fontId="0" fillId="33" borderId="10" xfId="0" applyNumberForma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22"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righ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top" textRotation="0" wrapText="1" indent="0" justifyLastLine="0" shrinkToFit="0" readingOrder="0"/>
    </dxf>
    <dxf>
      <border>
        <bottom style="thin">
          <color indexed="64"/>
        </bottom>
      </border>
    </dxf>
    <dxf>
      <alignment horizontal="righ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le1" displayName="Table1" ref="A1:U31" totalsRowShown="0" headerRowDxfId="21" dataDxfId="19" headerRowBorderDxfId="20" tableBorderDxfId="18" totalsRowBorderDxfId="17">
  <autoFilter ref="A1:U31"/>
  <tableColumns count="21">
    <tableColumn id="1" name="Item" dataDxfId="16"/>
    <tableColumn id="2" name="4Kx4K           S26" dataDxfId="15"/>
    <tableColumn id="5" name="4Kx4K         S25" dataDxfId="14"/>
    <tableColumn id="21" name="4Kx4K         S24"/>
    <tableColumn id="11" name="4Kx4K         S24 Optimized 2 decks" dataDxfId="13"/>
    <tableColumn id="17" name="15nm - 256 x 32 4Kx4K array limited" dataDxfId="12"/>
    <tableColumn id="18" name="14nm - 256 x 32 4Kx4K array limited"/>
    <tableColumn id="8" name="14nm - 256 x 16 4Kx4K array limited2" dataDxfId="11"/>
    <tableColumn id="13" name="14nm Chop - 128 x 32 4Kx4K array limited (simple chop: CMOS fits under one tile)" dataDxfId="10"/>
    <tableColumn id="15" name="14nm Chop - 128 x 32 4Kx4K array limited (tile re-layout chop: CMOS fits under two tiles in the base)" dataDxfId="9"/>
    <tableColumn id="20" name="14nm Chop Chop - 128 x 32 4Kx4K array limited (tile re-layout chop: CMOS fits under two tiles in the base)2"/>
    <tableColumn id="19" name="15nm Chop - 128 x 32 4Kx4K array limited (tile re-layout chop: CMOS fits under two tiles in the base)2"/>
    <tableColumn id="12" name="14nm - 256 x 32 4Kx4K CMOS limited (No CMOS scaling)" dataDxfId="8"/>
    <tableColumn id="14" name="14nm Chop - 256 x 32 4Kx4K CMOS limited (No CMOS scaling)" dataDxfId="7"/>
    <tableColumn id="16" name="14nm Chop - 256 x 32 4Kx4K CMOS limited (5% CMOS scaling)" dataDxfId="6"/>
    <tableColumn id="9" name="14nm - 128x32 4Kx8K array limited" dataDxfId="5"/>
    <tableColumn id="10" name="14nm - 128x32 4Kx8K2 CMOS limited (No CMOS scaling)" dataDxfId="4"/>
    <tableColumn id="7" name="14nm - 128 x 64 4Kx4K" dataDxfId="3"/>
    <tableColumn id="3" name="2Kx4K" dataDxfId="2"/>
    <tableColumn id="6" name="Column2" dataDxfId="1"/>
    <tableColumn id="4" name="Comment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E16" sqref="E16"/>
    </sheetView>
  </sheetViews>
  <sheetFormatPr defaultRowHeight="15" x14ac:dyDescent="0.25"/>
  <cols>
    <col min="1" max="1" width="23" style="46" bestFit="1" customWidth="1"/>
    <col min="2" max="3" width="18.7109375" style="40" customWidth="1"/>
    <col min="4" max="4" width="18.7109375" style="41" customWidth="1"/>
    <col min="5" max="5" width="47.7109375" style="33" bestFit="1" customWidth="1"/>
    <col min="6" max="6" width="18.7109375" style="41" customWidth="1"/>
    <col min="7" max="16384" width="9.140625" style="33"/>
  </cols>
  <sheetData>
    <row r="1" spans="1:6" x14ac:dyDescent="0.25">
      <c r="A1" s="43" t="s">
        <v>5</v>
      </c>
      <c r="B1" s="32" t="s">
        <v>45</v>
      </c>
      <c r="C1" s="32" t="s">
        <v>3</v>
      </c>
      <c r="D1" s="38" t="s">
        <v>4</v>
      </c>
      <c r="E1" s="44" t="s">
        <v>32</v>
      </c>
      <c r="F1" s="38" t="s">
        <v>40</v>
      </c>
    </row>
    <row r="2" spans="1:6" x14ac:dyDescent="0.25">
      <c r="A2" s="45" t="s">
        <v>1</v>
      </c>
      <c r="B2" s="32" t="s">
        <v>43</v>
      </c>
      <c r="C2" s="32" t="s">
        <v>8</v>
      </c>
      <c r="D2" s="38" t="s">
        <v>9</v>
      </c>
      <c r="E2" s="44" t="s">
        <v>21</v>
      </c>
      <c r="F2" s="38" t="s">
        <v>9</v>
      </c>
    </row>
    <row r="3" spans="1:6" x14ac:dyDescent="0.25">
      <c r="A3" s="43" t="s">
        <v>2</v>
      </c>
      <c r="B3" s="32">
        <v>2</v>
      </c>
      <c r="C3" s="32">
        <v>4</v>
      </c>
      <c r="D3" s="38">
        <v>4</v>
      </c>
      <c r="E3" s="44" t="s">
        <v>22</v>
      </c>
      <c r="F3" s="38">
        <v>4</v>
      </c>
    </row>
    <row r="4" spans="1:6" ht="17.25" x14ac:dyDescent="0.25">
      <c r="A4" s="43" t="s">
        <v>0</v>
      </c>
      <c r="B4" s="32" t="s">
        <v>7</v>
      </c>
      <c r="C4" s="32" t="s">
        <v>7</v>
      </c>
      <c r="D4" s="32" t="s">
        <v>6</v>
      </c>
      <c r="E4" s="44" t="s">
        <v>168</v>
      </c>
      <c r="F4" s="32" t="s">
        <v>6</v>
      </c>
    </row>
    <row r="5" spans="1:6" x14ac:dyDescent="0.25">
      <c r="A5" s="43" t="s">
        <v>17</v>
      </c>
      <c r="B5" s="32" t="s">
        <v>18</v>
      </c>
      <c r="C5" s="32" t="s">
        <v>18</v>
      </c>
      <c r="D5" s="32" t="s">
        <v>18</v>
      </c>
      <c r="E5" s="44" t="s">
        <v>23</v>
      </c>
      <c r="F5" s="48" t="s">
        <v>138</v>
      </c>
    </row>
    <row r="6" spans="1:6" x14ac:dyDescent="0.25">
      <c r="A6" s="43" t="s">
        <v>34</v>
      </c>
      <c r="B6" s="32"/>
      <c r="C6" s="32"/>
      <c r="D6" s="32"/>
      <c r="E6" s="44" t="s">
        <v>38</v>
      </c>
      <c r="F6" s="32"/>
    </row>
    <row r="7" spans="1:6" x14ac:dyDescent="0.25">
      <c r="A7" s="45" t="s">
        <v>19</v>
      </c>
      <c r="B7" s="32" t="s">
        <v>136</v>
      </c>
      <c r="C7" s="32" t="s">
        <v>136</v>
      </c>
      <c r="D7" s="32" t="s">
        <v>137</v>
      </c>
      <c r="E7" s="44" t="s">
        <v>39</v>
      </c>
      <c r="F7" s="32" t="s">
        <v>137</v>
      </c>
    </row>
    <row r="8" spans="1:6" x14ac:dyDescent="0.25">
      <c r="A8" s="43" t="s">
        <v>35</v>
      </c>
      <c r="B8" s="32" t="s">
        <v>44</v>
      </c>
      <c r="C8" s="32" t="s">
        <v>36</v>
      </c>
      <c r="D8" s="32" t="s">
        <v>36</v>
      </c>
      <c r="E8" s="44" t="s">
        <v>37</v>
      </c>
      <c r="F8" s="48" t="s">
        <v>41</v>
      </c>
    </row>
    <row r="9" spans="1:6" x14ac:dyDescent="0.25">
      <c r="A9" s="45" t="s">
        <v>16</v>
      </c>
      <c r="B9" s="32" t="s">
        <v>139</v>
      </c>
      <c r="C9" s="32" t="s">
        <v>139</v>
      </c>
      <c r="D9" s="38" t="s">
        <v>140</v>
      </c>
      <c r="E9" s="44" t="s">
        <v>24</v>
      </c>
      <c r="F9" s="38" t="s">
        <v>140</v>
      </c>
    </row>
    <row r="10" spans="1:6" x14ac:dyDescent="0.25">
      <c r="A10" s="45" t="s">
        <v>20</v>
      </c>
      <c r="B10" s="32" t="s">
        <v>141</v>
      </c>
      <c r="C10" s="32" t="s">
        <v>142</v>
      </c>
      <c r="D10" s="38" t="s">
        <v>143</v>
      </c>
      <c r="E10" s="44" t="s">
        <v>31</v>
      </c>
      <c r="F10" s="49" t="s">
        <v>144</v>
      </c>
    </row>
    <row r="11" spans="1:6" x14ac:dyDescent="0.25">
      <c r="A11" s="45" t="s">
        <v>30</v>
      </c>
      <c r="B11" s="32"/>
      <c r="C11" s="32" t="s">
        <v>10</v>
      </c>
      <c r="D11" s="32" t="s">
        <v>27</v>
      </c>
      <c r="E11" s="44" t="s">
        <v>33</v>
      </c>
      <c r="F11" s="32" t="s">
        <v>27</v>
      </c>
    </row>
    <row r="12" spans="1:6" x14ac:dyDescent="0.25">
      <c r="A12" s="45" t="s">
        <v>26</v>
      </c>
      <c r="B12" s="32"/>
      <c r="C12" s="32" t="s">
        <v>11</v>
      </c>
      <c r="D12" s="38" t="s">
        <v>25</v>
      </c>
      <c r="E12" s="44" t="s">
        <v>33</v>
      </c>
      <c r="F12" s="49" t="s">
        <v>42</v>
      </c>
    </row>
    <row r="13" spans="1:6" x14ac:dyDescent="0.25">
      <c r="A13" s="45" t="s">
        <v>12</v>
      </c>
      <c r="B13" s="32" t="s">
        <v>14</v>
      </c>
      <c r="C13" s="32" t="s">
        <v>14</v>
      </c>
      <c r="D13" s="32" t="s">
        <v>28</v>
      </c>
      <c r="E13" s="44" t="s">
        <v>29</v>
      </c>
      <c r="F13" s="32" t="s">
        <v>28</v>
      </c>
    </row>
    <row r="14" spans="1:6" x14ac:dyDescent="0.25">
      <c r="A14" s="43" t="s">
        <v>13</v>
      </c>
      <c r="B14" s="32" t="s">
        <v>15</v>
      </c>
      <c r="C14" s="32" t="s">
        <v>15</v>
      </c>
      <c r="D14" s="32" t="s">
        <v>15</v>
      </c>
      <c r="E14" s="44"/>
      <c r="F14" s="32" t="s">
        <v>15</v>
      </c>
    </row>
    <row r="17" spans="2:6" x14ac:dyDescent="0.25">
      <c r="B17" s="47"/>
      <c r="C17" s="47"/>
    </row>
    <row r="18" spans="2:6" x14ac:dyDescent="0.25">
      <c r="B18" s="41"/>
      <c r="C18" s="41"/>
      <c r="D18" s="33"/>
      <c r="F18" s="33"/>
    </row>
    <row r="19" spans="2:6" x14ac:dyDescent="0.25">
      <c r="B19" s="41"/>
      <c r="C19" s="41"/>
      <c r="D19" s="33"/>
      <c r="F19" s="33"/>
    </row>
    <row r="20" spans="2:6" x14ac:dyDescent="0.25">
      <c r="B20" s="41"/>
      <c r="C20" s="41"/>
      <c r="D20" s="33"/>
      <c r="F20" s="33"/>
    </row>
    <row r="21" spans="2:6" x14ac:dyDescent="0.25">
      <c r="B21" s="41"/>
      <c r="C21" s="41"/>
      <c r="D21" s="33"/>
      <c r="F21" s="33"/>
    </row>
    <row r="22" spans="2:6" x14ac:dyDescent="0.25">
      <c r="B22" s="41"/>
      <c r="C22" s="41"/>
      <c r="D22" s="33"/>
      <c r="F22" s="33"/>
    </row>
    <row r="23" spans="2:6" x14ac:dyDescent="0.25">
      <c r="B23" s="41"/>
      <c r="C23" s="41"/>
      <c r="D23" s="33"/>
      <c r="F23" s="33"/>
    </row>
    <row r="24" spans="2:6" x14ac:dyDescent="0.25">
      <c r="B24" s="41"/>
      <c r="C24" s="41"/>
      <c r="D24" s="33"/>
      <c r="F24" s="33"/>
    </row>
    <row r="25" spans="2:6" x14ac:dyDescent="0.25">
      <c r="B25" s="41"/>
      <c r="C25" s="41"/>
      <c r="D25" s="33"/>
      <c r="F25" s="3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B18" sqref="B18"/>
    </sheetView>
  </sheetViews>
  <sheetFormatPr defaultRowHeight="15" x14ac:dyDescent="0.25"/>
  <cols>
    <col min="1" max="1" width="45.7109375" style="39" bestFit="1" customWidth="1"/>
    <col min="2" max="6" width="18.7109375" style="40" customWidth="1"/>
    <col min="7" max="7" width="18.7109375" style="41" customWidth="1"/>
    <col min="8" max="8" width="18.7109375" style="57" customWidth="1"/>
    <col min="9" max="16384" width="9.140625" style="33"/>
  </cols>
  <sheetData>
    <row r="1" spans="1:8" s="30" customFormat="1" ht="45" x14ac:dyDescent="0.25">
      <c r="A1" s="28" t="s">
        <v>46</v>
      </c>
      <c r="B1" s="29" t="s">
        <v>124</v>
      </c>
      <c r="C1" s="29" t="s">
        <v>125</v>
      </c>
      <c r="D1" s="29" t="s">
        <v>130</v>
      </c>
      <c r="E1" s="29" t="s">
        <v>132</v>
      </c>
      <c r="F1" s="29" t="s">
        <v>133</v>
      </c>
      <c r="G1" s="29" t="s">
        <v>131</v>
      </c>
      <c r="H1" s="51" t="s">
        <v>148</v>
      </c>
    </row>
    <row r="2" spans="1:8" x14ac:dyDescent="0.25">
      <c r="A2" s="31" t="s">
        <v>49</v>
      </c>
      <c r="B2" s="32">
        <f>20.5</f>
        <v>20.5</v>
      </c>
      <c r="C2" s="32">
        <f>20.5</f>
        <v>20.5</v>
      </c>
      <c r="D2" s="32">
        <f>14</f>
        <v>14</v>
      </c>
      <c r="E2" s="32">
        <f>14</f>
        <v>14</v>
      </c>
      <c r="F2" s="32">
        <v>15</v>
      </c>
      <c r="G2" s="32">
        <f>14</f>
        <v>14</v>
      </c>
      <c r="H2" s="52">
        <f>14</f>
        <v>14</v>
      </c>
    </row>
    <row r="3" spans="1:8" x14ac:dyDescent="0.25">
      <c r="A3" s="31" t="s">
        <v>52</v>
      </c>
      <c r="B3" s="32" t="s">
        <v>53</v>
      </c>
      <c r="C3" s="32" t="s">
        <v>54</v>
      </c>
      <c r="D3" s="32" t="s">
        <v>54</v>
      </c>
      <c r="E3" s="32" t="s">
        <v>54</v>
      </c>
      <c r="F3" s="32" t="s">
        <v>54</v>
      </c>
      <c r="G3" s="32" t="s">
        <v>54</v>
      </c>
      <c r="H3" s="52" t="s">
        <v>54</v>
      </c>
    </row>
    <row r="4" spans="1:8" x14ac:dyDescent="0.25">
      <c r="A4" s="31" t="s">
        <v>60</v>
      </c>
      <c r="B4" s="32" t="s">
        <v>61</v>
      </c>
      <c r="C4" s="32" t="s">
        <v>62</v>
      </c>
      <c r="D4" s="32" t="s">
        <v>62</v>
      </c>
      <c r="E4" s="32" t="s">
        <v>62</v>
      </c>
      <c r="F4" s="32" t="s">
        <v>62</v>
      </c>
      <c r="G4" s="32" t="s">
        <v>62</v>
      </c>
      <c r="H4" s="52" t="s">
        <v>62</v>
      </c>
    </row>
    <row r="5" spans="1:8" x14ac:dyDescent="0.25">
      <c r="A5" s="31" t="s">
        <v>146</v>
      </c>
      <c r="B5" s="32">
        <f t="shared" ref="B5:G5" si="0">B33*B17</f>
        <v>16</v>
      </c>
      <c r="C5" s="32">
        <f t="shared" si="0"/>
        <v>32</v>
      </c>
      <c r="D5" s="32">
        <f t="shared" si="0"/>
        <v>64</v>
      </c>
      <c r="E5" s="32">
        <f t="shared" si="0"/>
        <v>64</v>
      </c>
      <c r="F5" s="32">
        <f t="shared" si="0"/>
        <v>64</v>
      </c>
      <c r="G5" s="32">
        <f t="shared" si="0"/>
        <v>64</v>
      </c>
      <c r="H5" s="52">
        <f t="shared" ref="H5" si="1">H33*H17</f>
        <v>64</v>
      </c>
    </row>
    <row r="6" spans="1:8" x14ac:dyDescent="0.25">
      <c r="A6" s="31" t="s">
        <v>51</v>
      </c>
      <c r="B6" s="32">
        <v>2</v>
      </c>
      <c r="C6" s="32">
        <v>4</v>
      </c>
      <c r="D6" s="32">
        <v>4</v>
      </c>
      <c r="E6" s="32">
        <v>4</v>
      </c>
      <c r="F6" s="32">
        <v>4</v>
      </c>
      <c r="G6" s="32">
        <v>4</v>
      </c>
      <c r="H6" s="52">
        <v>4</v>
      </c>
    </row>
    <row r="7" spans="1:8" x14ac:dyDescent="0.25">
      <c r="A7" s="31" t="s">
        <v>126</v>
      </c>
      <c r="B7" s="34">
        <v>1</v>
      </c>
      <c r="C7" s="34">
        <v>1</v>
      </c>
      <c r="D7" s="35">
        <v>1</v>
      </c>
      <c r="E7" s="50">
        <f>E10/D10</f>
        <v>0.81632653061224492</v>
      </c>
      <c r="F7" s="50">
        <v>0.82</v>
      </c>
      <c r="G7" s="50">
        <v>0.7</v>
      </c>
      <c r="H7" s="53">
        <v>0.55000000000000004</v>
      </c>
    </row>
    <row r="8" spans="1:8" ht="17.25" x14ac:dyDescent="0.25">
      <c r="A8" s="31" t="s">
        <v>121</v>
      </c>
      <c r="B8" s="36">
        <f t="shared" ref="B8:G8" si="2">SUM(B10:B11)</f>
        <v>208</v>
      </c>
      <c r="C8" s="36">
        <f t="shared" si="2"/>
        <v>195</v>
      </c>
      <c r="D8" s="42">
        <f t="shared" si="2"/>
        <v>214</v>
      </c>
      <c r="E8" s="36">
        <f t="shared" si="2"/>
        <v>178</v>
      </c>
      <c r="F8" s="36">
        <f t="shared" si="2"/>
        <v>202.49999999999997</v>
      </c>
      <c r="G8" s="36">
        <f t="shared" si="2"/>
        <v>200.93333333333334</v>
      </c>
      <c r="H8" s="54">
        <f t="shared" ref="H8" si="3">SUM(H10:H11)</f>
        <v>197.66666666666669</v>
      </c>
    </row>
    <row r="9" spans="1:8" ht="17.25" x14ac:dyDescent="0.25">
      <c r="A9" s="31" t="s">
        <v>50</v>
      </c>
      <c r="B9" s="36">
        <f t="shared" ref="B9:G9" si="4">4*B2^2*B5*2^30*8*10^-12/B6</f>
        <v>115.51744039321599</v>
      </c>
      <c r="C9" s="36">
        <f t="shared" si="4"/>
        <v>115.51744039321599</v>
      </c>
      <c r="D9" s="36">
        <f t="shared" si="4"/>
        <v>107.752139522048</v>
      </c>
      <c r="E9" s="36">
        <f t="shared" si="4"/>
        <v>107.752139522048</v>
      </c>
      <c r="F9" s="36">
        <f t="shared" si="4"/>
        <v>123.6950581248</v>
      </c>
      <c r="G9" s="36">
        <f t="shared" si="4"/>
        <v>107.752139522048</v>
      </c>
      <c r="H9" s="54">
        <f t="shared" ref="H9" si="5">4*H2^2*H5*2^30*8*10^-12/H6</f>
        <v>107.752139522048</v>
      </c>
    </row>
    <row r="10" spans="1:8" ht="17.25" x14ac:dyDescent="0.25">
      <c r="A10" s="31" t="s">
        <v>118</v>
      </c>
      <c r="B10" s="36">
        <f>208-C11</f>
        <v>190</v>
      </c>
      <c r="C10" s="36">
        <v>177</v>
      </c>
      <c r="D10" s="36">
        <v>196</v>
      </c>
      <c r="E10" s="36">
        <v>160</v>
      </c>
      <c r="F10" s="36">
        <f>E10*F9/E9*F7/E7</f>
        <v>184.49999999999997</v>
      </c>
      <c r="G10" s="36">
        <f>E10*(G14+G15)/(E14+E15)*G7/E7</f>
        <v>182.93333333333334</v>
      </c>
      <c r="H10" s="54">
        <f>E10*(H14+H15)/(E14+E15)*H7/E7</f>
        <v>179.66666666666669</v>
      </c>
    </row>
    <row r="11" spans="1:8" ht="17.25" x14ac:dyDescent="0.25">
      <c r="A11" s="31" t="s">
        <v>120</v>
      </c>
      <c r="B11" s="36">
        <v>18</v>
      </c>
      <c r="C11" s="36">
        <v>18</v>
      </c>
      <c r="D11" s="36">
        <v>18</v>
      </c>
      <c r="E11" s="36">
        <v>18</v>
      </c>
      <c r="F11" s="36">
        <v>18</v>
      </c>
      <c r="G11" s="36">
        <v>18</v>
      </c>
      <c r="H11" s="54">
        <v>18</v>
      </c>
    </row>
    <row r="12" spans="1:8" ht="17.25" x14ac:dyDescent="0.25">
      <c r="A12" s="31" t="s">
        <v>147</v>
      </c>
      <c r="B12" s="36">
        <f t="shared" ref="B12:G12" si="6">4/B6</f>
        <v>2</v>
      </c>
      <c r="C12" s="36">
        <f t="shared" si="6"/>
        <v>1</v>
      </c>
      <c r="D12" s="36">
        <f t="shared" si="6"/>
        <v>1</v>
      </c>
      <c r="E12" s="36">
        <f t="shared" si="6"/>
        <v>1</v>
      </c>
      <c r="F12" s="36">
        <f t="shared" si="6"/>
        <v>1</v>
      </c>
      <c r="G12" s="36">
        <f t="shared" si="6"/>
        <v>1</v>
      </c>
      <c r="H12" s="54">
        <f t="shared" ref="H12" si="7">4/H6</f>
        <v>1</v>
      </c>
    </row>
    <row r="13" spans="1:8" ht="17.25" x14ac:dyDescent="0.25">
      <c r="A13" s="31" t="s">
        <v>119</v>
      </c>
      <c r="B13" s="37">
        <f t="shared" ref="B13:G13" si="8">B10/B9/B6*4</f>
        <v>3.2895465715522927</v>
      </c>
      <c r="C13" s="37">
        <f t="shared" si="8"/>
        <v>1.5322361662230417</v>
      </c>
      <c r="D13" s="37">
        <f t="shared" si="8"/>
        <v>1.8189894035458565</v>
      </c>
      <c r="E13" s="37">
        <f t="shared" si="8"/>
        <v>1.4848893090170256</v>
      </c>
      <c r="F13" s="37">
        <f t="shared" si="8"/>
        <v>1.4915713109076021</v>
      </c>
      <c r="G13" s="37">
        <f t="shared" si="8"/>
        <v>1.6977234433094661</v>
      </c>
      <c r="H13" s="55">
        <f t="shared" ref="H13" si="9">H10/H9/H6*4</f>
        <v>1.6674069532503686</v>
      </c>
    </row>
    <row r="14" spans="1:8" x14ac:dyDescent="0.25">
      <c r="A14" s="31" t="s">
        <v>122</v>
      </c>
      <c r="B14" s="32">
        <f t="shared" ref="B14:G14" si="10">B28*B19*B21*B17/2^20</f>
        <v>4</v>
      </c>
      <c r="C14" s="32">
        <f t="shared" si="10"/>
        <v>8</v>
      </c>
      <c r="D14" s="32">
        <f t="shared" si="10"/>
        <v>16</v>
      </c>
      <c r="E14" s="32">
        <f t="shared" si="10"/>
        <v>16</v>
      </c>
      <c r="F14" s="32">
        <f t="shared" si="10"/>
        <v>16</v>
      </c>
      <c r="G14" s="32">
        <f t="shared" si="10"/>
        <v>16</v>
      </c>
      <c r="H14" s="52">
        <f t="shared" ref="H14" si="11">H28*H19*H21*H17/2^20</f>
        <v>32</v>
      </c>
    </row>
    <row r="15" spans="1:8" x14ac:dyDescent="0.25">
      <c r="A15" s="31" t="s">
        <v>123</v>
      </c>
      <c r="B15" s="32">
        <f t="shared" ref="B15:G15" si="12">B29*B19*B21*B17/2^20</f>
        <v>4</v>
      </c>
      <c r="C15" s="32">
        <f t="shared" si="12"/>
        <v>4</v>
      </c>
      <c r="D15" s="32">
        <f t="shared" si="12"/>
        <v>8</v>
      </c>
      <c r="E15" s="32">
        <f t="shared" si="12"/>
        <v>8</v>
      </c>
      <c r="F15" s="32">
        <f t="shared" si="12"/>
        <v>8</v>
      </c>
      <c r="G15" s="32">
        <f t="shared" si="12"/>
        <v>16</v>
      </c>
      <c r="H15" s="52">
        <f t="shared" ref="H15" si="13">H29*H19*H21*H17/2^20</f>
        <v>8</v>
      </c>
    </row>
    <row r="16" spans="1:8" x14ac:dyDescent="0.25">
      <c r="A16" s="31"/>
      <c r="B16" s="36"/>
      <c r="C16" s="36"/>
      <c r="D16" s="36"/>
      <c r="E16" s="36"/>
      <c r="F16" s="36"/>
      <c r="G16" s="36"/>
      <c r="H16" s="54"/>
    </row>
    <row r="17" spans="1:8" x14ac:dyDescent="0.25">
      <c r="A17" s="31" t="s">
        <v>47</v>
      </c>
      <c r="B17" s="32">
        <v>16</v>
      </c>
      <c r="C17" s="32">
        <v>32</v>
      </c>
      <c r="D17" s="32">
        <v>32</v>
      </c>
      <c r="E17" s="32">
        <v>32</v>
      </c>
      <c r="F17" s="32">
        <v>32</v>
      </c>
      <c r="G17" s="32">
        <v>32</v>
      </c>
      <c r="H17" s="52">
        <v>32</v>
      </c>
    </row>
    <row r="18" spans="1:8" x14ac:dyDescent="0.25">
      <c r="A18" s="31" t="s">
        <v>127</v>
      </c>
      <c r="B18" s="32">
        <v>1</v>
      </c>
      <c r="C18" s="32">
        <v>1</v>
      </c>
      <c r="D18" s="32">
        <v>1</v>
      </c>
      <c r="E18" s="32">
        <v>1</v>
      </c>
      <c r="F18" s="32">
        <v>1</v>
      </c>
      <c r="G18" s="32">
        <v>1</v>
      </c>
      <c r="H18" s="52">
        <v>1</v>
      </c>
    </row>
    <row r="19" spans="1:8" x14ac:dyDescent="0.25">
      <c r="A19" s="31" t="s">
        <v>135</v>
      </c>
      <c r="B19" s="32">
        <f>128/8</f>
        <v>16</v>
      </c>
      <c r="C19" s="32">
        <f>128/8</f>
        <v>16</v>
      </c>
      <c r="D19" s="32">
        <f>128/8</f>
        <v>16</v>
      </c>
      <c r="E19" s="32">
        <f>128/8</f>
        <v>16</v>
      </c>
      <c r="F19" s="32">
        <f>128/8</f>
        <v>16</v>
      </c>
      <c r="G19" s="32">
        <f>256/8</f>
        <v>32</v>
      </c>
      <c r="H19" s="52">
        <f>256/8</f>
        <v>32</v>
      </c>
    </row>
    <row r="20" spans="1:8" x14ac:dyDescent="0.25">
      <c r="A20" s="31" t="s">
        <v>128</v>
      </c>
      <c r="B20" s="32">
        <f t="shared" ref="B20:H20" si="14">B19/B18</f>
        <v>16</v>
      </c>
      <c r="C20" s="32">
        <f t="shared" si="14"/>
        <v>16</v>
      </c>
      <c r="D20" s="32">
        <f t="shared" si="14"/>
        <v>16</v>
      </c>
      <c r="E20" s="32">
        <f t="shared" si="14"/>
        <v>16</v>
      </c>
      <c r="F20" s="32">
        <f t="shared" si="14"/>
        <v>16</v>
      </c>
      <c r="G20" s="32">
        <f t="shared" si="14"/>
        <v>32</v>
      </c>
      <c r="H20" s="52">
        <f t="shared" si="14"/>
        <v>32</v>
      </c>
    </row>
    <row r="21" spans="1:8" x14ac:dyDescent="0.25">
      <c r="A21" s="31" t="s">
        <v>48</v>
      </c>
      <c r="B21" s="32">
        <v>4</v>
      </c>
      <c r="C21" s="32">
        <v>1</v>
      </c>
      <c r="D21" s="32">
        <v>2</v>
      </c>
      <c r="E21" s="32">
        <v>2</v>
      </c>
      <c r="F21" s="32">
        <v>2</v>
      </c>
      <c r="G21" s="32">
        <v>2</v>
      </c>
      <c r="H21" s="52">
        <v>2</v>
      </c>
    </row>
    <row r="22" spans="1:8" x14ac:dyDescent="0.25">
      <c r="A22" s="31" t="s">
        <v>129</v>
      </c>
      <c r="B22" s="32">
        <f>B19*B17</f>
        <v>256</v>
      </c>
      <c r="C22" s="32">
        <f>C19*C17</f>
        <v>512</v>
      </c>
      <c r="D22" s="32">
        <f t="shared" ref="D22:G22" si="15">D19*D17</f>
        <v>512</v>
      </c>
      <c r="E22" s="32">
        <f t="shared" si="15"/>
        <v>512</v>
      </c>
      <c r="F22" s="32">
        <f t="shared" si="15"/>
        <v>512</v>
      </c>
      <c r="G22" s="32">
        <f t="shared" si="15"/>
        <v>1024</v>
      </c>
      <c r="H22" s="52">
        <f t="shared" ref="H22" si="16">H19*H17</f>
        <v>1024</v>
      </c>
    </row>
    <row r="23" spans="1:8" x14ac:dyDescent="0.25">
      <c r="A23" s="31" t="s">
        <v>134</v>
      </c>
      <c r="B23" s="36">
        <f t="shared" ref="B23:H23" si="17">FLOOR(B22/0.465,5)</f>
        <v>550</v>
      </c>
      <c r="C23" s="36">
        <f t="shared" si="17"/>
        <v>1100</v>
      </c>
      <c r="D23" s="36">
        <f t="shared" si="17"/>
        <v>1100</v>
      </c>
      <c r="E23" s="36">
        <f t="shared" si="17"/>
        <v>1100</v>
      </c>
      <c r="F23" s="36">
        <f t="shared" si="17"/>
        <v>1100</v>
      </c>
      <c r="G23" s="36">
        <f t="shared" si="17"/>
        <v>2200</v>
      </c>
      <c r="H23" s="54">
        <f t="shared" si="17"/>
        <v>2200</v>
      </c>
    </row>
    <row r="24" spans="1:8" x14ac:dyDescent="0.25">
      <c r="A24" s="31"/>
      <c r="B24" s="32"/>
      <c r="C24" s="32"/>
      <c r="D24" s="32"/>
      <c r="E24" s="32"/>
      <c r="F24" s="32"/>
      <c r="G24" s="32"/>
      <c r="H24" s="52"/>
    </row>
    <row r="25" spans="1:8" x14ac:dyDescent="0.25">
      <c r="A25" s="31"/>
      <c r="B25" s="32"/>
      <c r="C25" s="32"/>
      <c r="D25" s="32"/>
      <c r="E25" s="32"/>
      <c r="F25" s="32"/>
      <c r="G25" s="32"/>
      <c r="H25" s="52"/>
    </row>
    <row r="26" spans="1:8" x14ac:dyDescent="0.25">
      <c r="A26" s="31" t="s">
        <v>55</v>
      </c>
      <c r="B26" s="32">
        <v>2048</v>
      </c>
      <c r="C26" s="32">
        <v>4096</v>
      </c>
      <c r="D26" s="32">
        <v>4096</v>
      </c>
      <c r="E26" s="32">
        <v>4096</v>
      </c>
      <c r="F26" s="32">
        <v>4096</v>
      </c>
      <c r="G26" s="32">
        <v>2048</v>
      </c>
      <c r="H26" s="52">
        <v>4096</v>
      </c>
    </row>
    <row r="27" spans="1:8" x14ac:dyDescent="0.25">
      <c r="A27" s="31" t="s">
        <v>56</v>
      </c>
      <c r="B27" s="32">
        <v>4096</v>
      </c>
      <c r="C27" s="32">
        <v>4096</v>
      </c>
      <c r="D27" s="32">
        <v>4096</v>
      </c>
      <c r="E27" s="32">
        <v>4096</v>
      </c>
      <c r="F27" s="32">
        <v>4096</v>
      </c>
      <c r="G27" s="32">
        <v>4096</v>
      </c>
      <c r="H27" s="52">
        <v>2048</v>
      </c>
    </row>
    <row r="28" spans="1:8" x14ac:dyDescent="0.25">
      <c r="A28" s="31" t="s">
        <v>57</v>
      </c>
      <c r="B28" s="32">
        <f t="shared" ref="B28:G28" si="18">B26*B6</f>
        <v>4096</v>
      </c>
      <c r="C28" s="32">
        <f t="shared" si="18"/>
        <v>16384</v>
      </c>
      <c r="D28" s="32">
        <f t="shared" si="18"/>
        <v>16384</v>
      </c>
      <c r="E28" s="32">
        <f t="shared" si="18"/>
        <v>16384</v>
      </c>
      <c r="F28" s="32">
        <f t="shared" si="18"/>
        <v>16384</v>
      </c>
      <c r="G28" s="32">
        <f t="shared" si="18"/>
        <v>8192</v>
      </c>
      <c r="H28" s="52">
        <f t="shared" ref="H28" si="19">H26*H6</f>
        <v>16384</v>
      </c>
    </row>
    <row r="29" spans="1:8" x14ac:dyDescent="0.25">
      <c r="A29" s="31" t="s">
        <v>58</v>
      </c>
      <c r="B29" s="32">
        <f t="shared" ref="B29:G29" si="20">B27*B6/2</f>
        <v>4096</v>
      </c>
      <c r="C29" s="32">
        <f t="shared" si="20"/>
        <v>8192</v>
      </c>
      <c r="D29" s="32">
        <f t="shared" si="20"/>
        <v>8192</v>
      </c>
      <c r="E29" s="32">
        <f t="shared" si="20"/>
        <v>8192</v>
      </c>
      <c r="F29" s="32">
        <f t="shared" si="20"/>
        <v>8192</v>
      </c>
      <c r="G29" s="32">
        <f t="shared" si="20"/>
        <v>8192</v>
      </c>
      <c r="H29" s="52">
        <f t="shared" ref="H29" si="21">H27*H6/2</f>
        <v>4096</v>
      </c>
    </row>
    <row r="30" spans="1:8" x14ac:dyDescent="0.25">
      <c r="A30" s="31"/>
      <c r="B30" s="32"/>
      <c r="C30" s="32"/>
      <c r="D30" s="32"/>
      <c r="E30" s="32"/>
      <c r="F30" s="32"/>
      <c r="G30" s="32"/>
      <c r="H30" s="52"/>
    </row>
    <row r="31" spans="1:8" x14ac:dyDescent="0.25">
      <c r="A31" s="31"/>
      <c r="B31" s="32"/>
      <c r="C31" s="32"/>
      <c r="D31" s="32"/>
      <c r="E31" s="32"/>
      <c r="F31" s="32"/>
      <c r="G31" s="32"/>
      <c r="H31" s="52"/>
    </row>
    <row r="32" spans="1:8" x14ac:dyDescent="0.25">
      <c r="A32" s="31" t="s">
        <v>59</v>
      </c>
      <c r="B32" s="32">
        <f>B28*B29/2^20</f>
        <v>16</v>
      </c>
      <c r="C32" s="32">
        <f t="shared" ref="C32:H32" si="22">C26*C27*C6/2^20</f>
        <v>64</v>
      </c>
      <c r="D32" s="32">
        <f t="shared" si="22"/>
        <v>64</v>
      </c>
      <c r="E32" s="32">
        <f t="shared" si="22"/>
        <v>64</v>
      </c>
      <c r="F32" s="32">
        <f t="shared" si="22"/>
        <v>64</v>
      </c>
      <c r="G32" s="32">
        <f t="shared" si="22"/>
        <v>32</v>
      </c>
      <c r="H32" s="52">
        <f t="shared" si="22"/>
        <v>32</v>
      </c>
    </row>
    <row r="33" spans="1:8" x14ac:dyDescent="0.25">
      <c r="A33" s="31" t="s">
        <v>145</v>
      </c>
      <c r="B33" s="32">
        <f t="shared" ref="B33:H33" si="23">B32*B19*B21/1024</f>
        <v>1</v>
      </c>
      <c r="C33" s="32">
        <f t="shared" si="23"/>
        <v>1</v>
      </c>
      <c r="D33" s="32">
        <f t="shared" si="23"/>
        <v>2</v>
      </c>
      <c r="E33" s="32">
        <f t="shared" si="23"/>
        <v>2</v>
      </c>
      <c r="F33" s="32">
        <f t="shared" si="23"/>
        <v>2</v>
      </c>
      <c r="G33" s="32">
        <f t="shared" si="23"/>
        <v>2</v>
      </c>
      <c r="H33" s="52">
        <f t="shared" si="23"/>
        <v>2</v>
      </c>
    </row>
    <row r="34" spans="1:8" x14ac:dyDescent="0.25">
      <c r="A34" s="31"/>
      <c r="B34" s="32"/>
      <c r="C34" s="32"/>
      <c r="D34" s="32"/>
      <c r="E34" s="32"/>
      <c r="F34" s="32"/>
      <c r="G34" s="38"/>
      <c r="H34" s="56"/>
    </row>
    <row r="35" spans="1:8" x14ac:dyDescent="0.25">
      <c r="A35" s="31"/>
      <c r="B35" s="32"/>
      <c r="C35" s="32"/>
      <c r="D35" s="32"/>
      <c r="E35" s="32"/>
      <c r="F35" s="32"/>
      <c r="G35" s="38"/>
      <c r="H35" s="56"/>
    </row>
    <row r="36" spans="1:8" x14ac:dyDescent="0.25">
      <c r="A36" s="31"/>
      <c r="B36" s="32"/>
      <c r="C36" s="32"/>
      <c r="D36" s="32"/>
      <c r="E36" s="32"/>
      <c r="F36" s="32"/>
      <c r="G36" s="32"/>
      <c r="H36" s="52"/>
    </row>
    <row r="37" spans="1:8" x14ac:dyDescent="0.25">
      <c r="A37" s="31"/>
      <c r="B37" s="32"/>
      <c r="C37" s="32"/>
      <c r="D37" s="32"/>
      <c r="E37" s="32"/>
      <c r="F37" s="32"/>
      <c r="G37" s="38"/>
      <c r="H37" s="56"/>
    </row>
    <row r="38" spans="1:8" x14ac:dyDescent="0.25">
      <c r="A38" s="31"/>
      <c r="B38" s="32"/>
      <c r="C38" s="32"/>
      <c r="D38" s="32"/>
      <c r="E38" s="32"/>
      <c r="F38" s="32"/>
      <c r="G38" s="32"/>
      <c r="H38" s="52"/>
    </row>
    <row r="39" spans="1:8" x14ac:dyDescent="0.25">
      <c r="A39" s="31"/>
      <c r="B39" s="32"/>
      <c r="C39" s="32"/>
      <c r="D39" s="32"/>
      <c r="E39" s="32"/>
      <c r="F39" s="32"/>
      <c r="G39" s="32"/>
      <c r="H39" s="52"/>
    </row>
    <row r="40" spans="1:8" x14ac:dyDescent="0.25">
      <c r="A40" s="31"/>
      <c r="B40" s="32"/>
      <c r="C40" s="32"/>
      <c r="D40" s="32"/>
      <c r="E40" s="32"/>
      <c r="F40" s="32"/>
      <c r="G40" s="38"/>
      <c r="H40" s="56"/>
    </row>
    <row r="41" spans="1:8" x14ac:dyDescent="0.25">
      <c r="A41" s="31"/>
      <c r="B41" s="32"/>
      <c r="C41" s="32"/>
      <c r="D41" s="32"/>
      <c r="E41" s="32"/>
      <c r="F41" s="32"/>
      <c r="G41" s="38"/>
      <c r="H41" s="56"/>
    </row>
    <row r="42" spans="1:8" x14ac:dyDescent="0.25">
      <c r="A42" s="31"/>
      <c r="B42" s="32"/>
      <c r="C42" s="32"/>
      <c r="D42" s="32"/>
      <c r="E42" s="32"/>
      <c r="F42" s="32"/>
      <c r="G42" s="32"/>
      <c r="H42" s="52"/>
    </row>
    <row r="43" spans="1:8" x14ac:dyDescent="0.25">
      <c r="A43" s="31"/>
      <c r="B43" s="32"/>
      <c r="C43" s="32"/>
      <c r="D43" s="32"/>
      <c r="E43" s="32"/>
      <c r="F43" s="32"/>
      <c r="G43" s="38"/>
      <c r="H43" s="56"/>
    </row>
    <row r="44" spans="1:8" x14ac:dyDescent="0.25">
      <c r="A44" s="31"/>
      <c r="B44" s="32"/>
      <c r="C44" s="32"/>
      <c r="D44" s="32"/>
      <c r="E44" s="32"/>
      <c r="F44" s="32"/>
      <c r="G44" s="32"/>
      <c r="H44" s="52"/>
    </row>
    <row r="45" spans="1:8" x14ac:dyDescent="0.25">
      <c r="A45" s="31"/>
      <c r="B45" s="32"/>
      <c r="C45" s="32"/>
      <c r="D45" s="32"/>
      <c r="E45" s="32"/>
      <c r="F45" s="32"/>
      <c r="G45" s="32"/>
      <c r="H45" s="52"/>
    </row>
    <row r="46" spans="1:8" x14ac:dyDescent="0.25">
      <c r="A46" s="31"/>
      <c r="B46" s="32"/>
      <c r="C46" s="32"/>
      <c r="D46" s="32"/>
      <c r="E46" s="32"/>
      <c r="F46" s="32"/>
      <c r="G46" s="38"/>
      <c r="H46" s="56"/>
    </row>
    <row r="47" spans="1:8" x14ac:dyDescent="0.25">
      <c r="A47" s="31"/>
      <c r="B47" s="32"/>
      <c r="C47" s="32"/>
      <c r="D47" s="32"/>
      <c r="E47" s="32"/>
      <c r="F47" s="32"/>
      <c r="G47" s="38"/>
      <c r="H47" s="56"/>
    </row>
    <row r="48" spans="1:8" x14ac:dyDescent="0.25">
      <c r="A48" s="31"/>
      <c r="B48" s="32"/>
      <c r="C48" s="32"/>
      <c r="D48" s="32"/>
      <c r="E48" s="32"/>
      <c r="F48" s="32"/>
      <c r="G48" s="32"/>
      <c r="H48" s="52"/>
    </row>
    <row r="49" spans="1:8" x14ac:dyDescent="0.25">
      <c r="A49" s="31"/>
      <c r="B49" s="32"/>
      <c r="C49" s="32"/>
      <c r="D49" s="32"/>
      <c r="E49" s="32"/>
      <c r="F49" s="32"/>
      <c r="G49" s="38"/>
      <c r="H49" s="56"/>
    </row>
    <row r="50" spans="1:8" x14ac:dyDescent="0.25">
      <c r="A50" s="31"/>
      <c r="B50" s="32"/>
      <c r="C50" s="32"/>
      <c r="D50" s="32"/>
      <c r="E50" s="32"/>
      <c r="F50" s="32"/>
      <c r="G50" s="32"/>
      <c r="H50" s="52"/>
    </row>
    <row r="51" spans="1:8" x14ac:dyDescent="0.25">
      <c r="A51" s="31"/>
      <c r="B51" s="32"/>
      <c r="C51" s="32"/>
      <c r="D51" s="32"/>
      <c r="E51" s="32"/>
      <c r="F51" s="32"/>
      <c r="G51" s="32"/>
      <c r="H51" s="52"/>
    </row>
    <row r="52" spans="1:8" x14ac:dyDescent="0.25">
      <c r="A52" s="31"/>
      <c r="B52" s="32"/>
      <c r="C52" s="32"/>
      <c r="D52" s="32"/>
      <c r="E52" s="32"/>
      <c r="F52" s="32"/>
      <c r="G52" s="38"/>
      <c r="H52" s="56"/>
    </row>
    <row r="53" spans="1:8" x14ac:dyDescent="0.25">
      <c r="A53" s="31"/>
      <c r="B53" s="32"/>
      <c r="C53" s="32"/>
      <c r="D53" s="32"/>
      <c r="E53" s="32"/>
      <c r="F53" s="32"/>
      <c r="G53" s="38"/>
      <c r="H53" s="56"/>
    </row>
    <row r="54" spans="1:8" x14ac:dyDescent="0.25">
      <c r="A54" s="31"/>
      <c r="B54" s="32"/>
      <c r="C54" s="32"/>
      <c r="D54" s="32"/>
      <c r="E54" s="32"/>
      <c r="F54" s="32"/>
      <c r="G54" s="32"/>
      <c r="H54" s="52"/>
    </row>
    <row r="55" spans="1:8" x14ac:dyDescent="0.25">
      <c r="A55" s="31"/>
      <c r="B55" s="32"/>
      <c r="C55" s="32"/>
      <c r="D55" s="32"/>
      <c r="E55" s="32"/>
      <c r="F55" s="32"/>
      <c r="G55" s="38"/>
      <c r="H55" s="56"/>
    </row>
    <row r="56" spans="1:8" x14ac:dyDescent="0.25">
      <c r="A56" s="31"/>
      <c r="B56" s="32"/>
      <c r="C56" s="32"/>
      <c r="D56" s="32"/>
      <c r="E56" s="32"/>
      <c r="F56" s="32"/>
      <c r="G56" s="32"/>
      <c r="H56" s="52"/>
    </row>
    <row r="57" spans="1:8" x14ac:dyDescent="0.25">
      <c r="A57" s="31"/>
      <c r="B57" s="32"/>
      <c r="C57" s="32"/>
      <c r="D57" s="32"/>
      <c r="E57" s="32"/>
      <c r="F57" s="32"/>
      <c r="G57" s="32"/>
      <c r="H57" s="52"/>
    </row>
    <row r="58" spans="1:8" x14ac:dyDescent="0.25">
      <c r="A58" s="31"/>
      <c r="B58" s="32"/>
      <c r="C58" s="32"/>
      <c r="D58" s="32"/>
      <c r="E58" s="32"/>
      <c r="F58" s="32"/>
      <c r="G58" s="38"/>
      <c r="H58" s="56"/>
    </row>
    <row r="59" spans="1:8" x14ac:dyDescent="0.25">
      <c r="A59" s="31"/>
      <c r="B59" s="32"/>
      <c r="C59" s="32"/>
      <c r="D59" s="32"/>
      <c r="E59" s="32"/>
      <c r="F59" s="32"/>
      <c r="G59" s="38"/>
      <c r="H59" s="56"/>
    </row>
    <row r="60" spans="1:8" x14ac:dyDescent="0.25">
      <c r="A60" s="31"/>
      <c r="B60" s="32"/>
      <c r="C60" s="32"/>
      <c r="D60" s="32"/>
      <c r="E60" s="32"/>
      <c r="F60" s="32"/>
      <c r="G60" s="32"/>
      <c r="H60" s="52"/>
    </row>
    <row r="61" spans="1:8" x14ac:dyDescent="0.25">
      <c r="A61" s="31"/>
      <c r="B61" s="32"/>
      <c r="C61" s="32"/>
      <c r="D61" s="32"/>
      <c r="E61" s="32"/>
      <c r="F61" s="32"/>
      <c r="G61" s="38"/>
      <c r="H61" s="56"/>
    </row>
    <row r="62" spans="1:8" x14ac:dyDescent="0.25">
      <c r="A62" s="31"/>
      <c r="B62" s="32"/>
      <c r="C62" s="32"/>
      <c r="D62" s="32"/>
      <c r="E62" s="32"/>
      <c r="F62" s="32"/>
      <c r="G62" s="32"/>
      <c r="H62" s="52"/>
    </row>
    <row r="63" spans="1:8" x14ac:dyDescent="0.25">
      <c r="A63" s="31"/>
      <c r="B63" s="32"/>
      <c r="C63" s="32"/>
      <c r="D63" s="32"/>
      <c r="E63" s="32"/>
      <c r="F63" s="32"/>
      <c r="G63" s="32"/>
      <c r="H63" s="5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C46" sqref="C46"/>
    </sheetView>
  </sheetViews>
  <sheetFormatPr defaultRowHeight="15" x14ac:dyDescent="0.25"/>
  <cols>
    <col min="1" max="1" width="45.7109375" style="39" bestFit="1" customWidth="1"/>
    <col min="2" max="6" width="18.7109375" style="40" customWidth="1"/>
    <col min="7" max="7" width="18.7109375" style="41" customWidth="1"/>
    <col min="8" max="8" width="18.7109375" style="57" customWidth="1"/>
    <col min="9" max="16384" width="9.140625" style="33"/>
  </cols>
  <sheetData>
    <row r="1" spans="1:8" s="30" customFormat="1" ht="45" x14ac:dyDescent="0.25">
      <c r="A1" s="28" t="s">
        <v>46</v>
      </c>
      <c r="B1" s="29" t="s">
        <v>124</v>
      </c>
      <c r="C1" s="29" t="s">
        <v>125</v>
      </c>
      <c r="D1" s="29" t="s">
        <v>130</v>
      </c>
      <c r="E1" s="29" t="s">
        <v>132</v>
      </c>
      <c r="F1" s="29" t="s">
        <v>133</v>
      </c>
      <c r="G1" s="29" t="s">
        <v>131</v>
      </c>
      <c r="H1" s="51" t="s">
        <v>148</v>
      </c>
    </row>
    <row r="2" spans="1:8" x14ac:dyDescent="0.25">
      <c r="A2" s="31" t="s">
        <v>49</v>
      </c>
      <c r="B2" s="32">
        <f>'Array Core Scaling'!B2</f>
        <v>20.5</v>
      </c>
      <c r="C2" s="32">
        <f>'Array Core Scaling'!C2</f>
        <v>20.5</v>
      </c>
      <c r="D2" s="32">
        <f>'Array Core Scaling'!D2</f>
        <v>14</v>
      </c>
      <c r="E2" s="32">
        <f>'Array Core Scaling'!E2</f>
        <v>14</v>
      </c>
      <c r="F2" s="32">
        <f>'Array Core Scaling'!F2</f>
        <v>15</v>
      </c>
      <c r="G2" s="32">
        <f>'Array Core Scaling'!G2</f>
        <v>14</v>
      </c>
      <c r="H2" s="52">
        <f>'Array Core Scaling'!H2</f>
        <v>14</v>
      </c>
    </row>
    <row r="3" spans="1:8" x14ac:dyDescent="0.25">
      <c r="A3" s="31" t="s">
        <v>52</v>
      </c>
      <c r="B3" s="32" t="str">
        <f>'Array Core Scaling'!B3</f>
        <v>Common BL</v>
      </c>
      <c r="C3" s="32" t="str">
        <f>'Array Core Scaling'!C3</f>
        <v>Common BL, bi-layer</v>
      </c>
      <c r="D3" s="32" t="str">
        <f>'Array Core Scaling'!D3</f>
        <v>Common BL, bi-layer</v>
      </c>
      <c r="E3" s="32" t="str">
        <f>'Array Core Scaling'!E3</f>
        <v>Common BL, bi-layer</v>
      </c>
      <c r="F3" s="32" t="str">
        <f>'Array Core Scaling'!F3</f>
        <v>Common BL, bi-layer</v>
      </c>
      <c r="G3" s="32" t="str">
        <f>'Array Core Scaling'!G3</f>
        <v>Common BL, bi-layer</v>
      </c>
      <c r="H3" s="52" t="str">
        <f>'Array Core Scaling'!H3</f>
        <v>Common BL, bi-layer</v>
      </c>
    </row>
    <row r="4" spans="1:8" x14ac:dyDescent="0.25">
      <c r="A4" s="31" t="s">
        <v>60</v>
      </c>
      <c r="B4" s="32" t="str">
        <f>'Array Core Scaling'!B4</f>
        <v>Edge</v>
      </c>
      <c r="C4" s="32" t="str">
        <f>'Array Core Scaling'!C4</f>
        <v>Quilt</v>
      </c>
      <c r="D4" s="32" t="str">
        <f>'Array Core Scaling'!D4</f>
        <v>Quilt</v>
      </c>
      <c r="E4" s="32" t="str">
        <f>'Array Core Scaling'!E4</f>
        <v>Quilt</v>
      </c>
      <c r="F4" s="32" t="str">
        <f>'Array Core Scaling'!F4</f>
        <v>Quilt</v>
      </c>
      <c r="G4" s="32" t="str">
        <f>'Array Core Scaling'!G4</f>
        <v>Quilt</v>
      </c>
      <c r="H4" s="52" t="str">
        <f>'Array Core Scaling'!H4</f>
        <v>Quilt</v>
      </c>
    </row>
    <row r="5" spans="1:8" x14ac:dyDescent="0.25">
      <c r="A5" s="31" t="s">
        <v>146</v>
      </c>
      <c r="B5" s="32">
        <f>'Array Core Scaling'!B5</f>
        <v>16</v>
      </c>
      <c r="C5" s="32">
        <f>'Array Core Scaling'!C5</f>
        <v>32</v>
      </c>
      <c r="D5" s="32">
        <f>'Array Core Scaling'!D5</f>
        <v>64</v>
      </c>
      <c r="E5" s="32">
        <f>'Array Core Scaling'!E5</f>
        <v>64</v>
      </c>
      <c r="F5" s="32">
        <f>'Array Core Scaling'!F5</f>
        <v>64</v>
      </c>
      <c r="G5" s="32">
        <f>'Array Core Scaling'!G5</f>
        <v>64</v>
      </c>
      <c r="H5" s="52">
        <f>'Array Core Scaling'!H5</f>
        <v>64</v>
      </c>
    </row>
    <row r="6" spans="1:8" x14ac:dyDescent="0.25">
      <c r="A6" s="31" t="s">
        <v>51</v>
      </c>
      <c r="B6" s="32">
        <f>'Array Core Scaling'!B6</f>
        <v>2</v>
      </c>
      <c r="C6" s="32">
        <f>'Array Core Scaling'!C6</f>
        <v>4</v>
      </c>
      <c r="D6" s="32">
        <f>'Array Core Scaling'!D6</f>
        <v>4</v>
      </c>
      <c r="E6" s="32">
        <f>'Array Core Scaling'!E6</f>
        <v>4</v>
      </c>
      <c r="F6" s="32">
        <f>'Array Core Scaling'!F6</f>
        <v>4</v>
      </c>
      <c r="G6" s="32">
        <f>'Array Core Scaling'!G6</f>
        <v>4</v>
      </c>
      <c r="H6" s="52">
        <f>'Array Core Scaling'!H6</f>
        <v>4</v>
      </c>
    </row>
    <row r="7" spans="1:8" x14ac:dyDescent="0.25">
      <c r="A7" s="31" t="s">
        <v>126</v>
      </c>
      <c r="B7" s="34">
        <f>'Array Core Scaling'!B7</f>
        <v>1</v>
      </c>
      <c r="C7" s="34">
        <f>'Array Core Scaling'!C7</f>
        <v>1</v>
      </c>
      <c r="D7" s="35">
        <f>'Array Core Scaling'!D7</f>
        <v>1</v>
      </c>
      <c r="E7" s="50">
        <f>'Array Core Scaling'!E7</f>
        <v>0.81632653061224492</v>
      </c>
      <c r="F7" s="50">
        <f>'Array Core Scaling'!F7</f>
        <v>0.82</v>
      </c>
      <c r="G7" s="50">
        <f>'Array Core Scaling'!G7</f>
        <v>0.7</v>
      </c>
      <c r="H7" s="53">
        <f>'Array Core Scaling'!H7</f>
        <v>0.55000000000000004</v>
      </c>
    </row>
    <row r="8" spans="1:8" ht="17.25" x14ac:dyDescent="0.25">
      <c r="A8" s="31" t="s">
        <v>121</v>
      </c>
      <c r="B8" s="36">
        <f>'Array Core Scaling'!B8</f>
        <v>208</v>
      </c>
      <c r="C8" s="36">
        <f>'Array Core Scaling'!C8</f>
        <v>195</v>
      </c>
      <c r="D8" s="42">
        <f>'Array Core Scaling'!D8</f>
        <v>214</v>
      </c>
      <c r="E8" s="36">
        <f>'Array Core Scaling'!E8</f>
        <v>178</v>
      </c>
      <c r="F8" s="36">
        <f>'Array Core Scaling'!F8</f>
        <v>202.49999999999997</v>
      </c>
      <c r="G8" s="36">
        <f>'Array Core Scaling'!G8</f>
        <v>200.93333333333334</v>
      </c>
      <c r="H8" s="54">
        <f>'Array Core Scaling'!H8</f>
        <v>197.66666666666669</v>
      </c>
    </row>
    <row r="9" spans="1:8" ht="17.25" x14ac:dyDescent="0.25">
      <c r="A9" s="31" t="s">
        <v>50</v>
      </c>
      <c r="B9" s="36">
        <f>'Array Core Scaling'!B9</f>
        <v>115.51744039321599</v>
      </c>
      <c r="C9" s="36">
        <f>'Array Core Scaling'!C9</f>
        <v>115.51744039321599</v>
      </c>
      <c r="D9" s="36">
        <f>'Array Core Scaling'!D9</f>
        <v>107.752139522048</v>
      </c>
      <c r="E9" s="36">
        <f>'Array Core Scaling'!E9</f>
        <v>107.752139522048</v>
      </c>
      <c r="F9" s="36">
        <f>'Array Core Scaling'!F9</f>
        <v>123.6950581248</v>
      </c>
      <c r="G9" s="36">
        <f>'Array Core Scaling'!G9</f>
        <v>107.752139522048</v>
      </c>
      <c r="H9" s="54">
        <f>'Array Core Scaling'!H9</f>
        <v>107.752139522048</v>
      </c>
    </row>
    <row r="10" spans="1:8" ht="17.25" x14ac:dyDescent="0.25">
      <c r="A10" s="31" t="s">
        <v>118</v>
      </c>
      <c r="B10" s="36">
        <f>'Array Core Scaling'!B10</f>
        <v>190</v>
      </c>
      <c r="C10" s="36">
        <f>'Array Core Scaling'!C10</f>
        <v>177</v>
      </c>
      <c r="D10" s="36">
        <f>'Array Core Scaling'!D10</f>
        <v>196</v>
      </c>
      <c r="E10" s="36">
        <f>'Array Core Scaling'!E10</f>
        <v>160</v>
      </c>
      <c r="F10" s="36">
        <f>'Array Core Scaling'!F10</f>
        <v>184.49999999999997</v>
      </c>
      <c r="G10" s="36">
        <f>'Array Core Scaling'!G10</f>
        <v>182.93333333333334</v>
      </c>
      <c r="H10" s="54">
        <f>'Array Core Scaling'!H10</f>
        <v>179.66666666666669</v>
      </c>
    </row>
    <row r="11" spans="1:8" ht="17.25" x14ac:dyDescent="0.25">
      <c r="A11" s="31" t="s">
        <v>120</v>
      </c>
      <c r="B11" s="36">
        <f>'Array Core Scaling'!B11</f>
        <v>18</v>
      </c>
      <c r="C11" s="36">
        <f>'Array Core Scaling'!C11</f>
        <v>18</v>
      </c>
      <c r="D11" s="36">
        <f>'Array Core Scaling'!D11</f>
        <v>18</v>
      </c>
      <c r="E11" s="36">
        <f>'Array Core Scaling'!E11</f>
        <v>18</v>
      </c>
      <c r="F11" s="36">
        <f>'Array Core Scaling'!F11</f>
        <v>18</v>
      </c>
      <c r="G11" s="36">
        <f>'Array Core Scaling'!G11</f>
        <v>18</v>
      </c>
      <c r="H11" s="54">
        <f>'Array Core Scaling'!H11</f>
        <v>18</v>
      </c>
    </row>
    <row r="12" spans="1:8" ht="17.25" x14ac:dyDescent="0.25">
      <c r="A12" s="31" t="s">
        <v>147</v>
      </c>
      <c r="B12" s="36">
        <f>'Array Core Scaling'!B12</f>
        <v>2</v>
      </c>
      <c r="C12" s="36">
        <f>'Array Core Scaling'!C12</f>
        <v>1</v>
      </c>
      <c r="D12" s="36">
        <f>'Array Core Scaling'!D12</f>
        <v>1</v>
      </c>
      <c r="E12" s="36">
        <f>'Array Core Scaling'!E12</f>
        <v>1</v>
      </c>
      <c r="F12" s="36">
        <f>'Array Core Scaling'!F12</f>
        <v>1</v>
      </c>
      <c r="G12" s="36">
        <f>'Array Core Scaling'!G12</f>
        <v>1</v>
      </c>
      <c r="H12" s="54">
        <f>'Array Core Scaling'!H12</f>
        <v>1</v>
      </c>
    </row>
    <row r="13" spans="1:8" ht="17.25" x14ac:dyDescent="0.25">
      <c r="A13" s="31" t="s">
        <v>119</v>
      </c>
      <c r="B13" s="37">
        <f>'Array Core Scaling'!B13</f>
        <v>3.2895465715522927</v>
      </c>
      <c r="C13" s="37">
        <f>'Array Core Scaling'!C13</f>
        <v>1.5322361662230417</v>
      </c>
      <c r="D13" s="37">
        <f>'Array Core Scaling'!D13</f>
        <v>1.8189894035458565</v>
      </c>
      <c r="E13" s="37">
        <f>'Array Core Scaling'!E13</f>
        <v>1.4848893090170256</v>
      </c>
      <c r="F13" s="37">
        <f>'Array Core Scaling'!F13</f>
        <v>1.4915713109076021</v>
      </c>
      <c r="G13" s="37">
        <f>'Array Core Scaling'!G13</f>
        <v>1.6977234433094661</v>
      </c>
      <c r="H13" s="55">
        <f>'Array Core Scaling'!H13</f>
        <v>1.6674069532503686</v>
      </c>
    </row>
    <row r="14" spans="1:8" x14ac:dyDescent="0.25">
      <c r="A14" s="31" t="s">
        <v>122</v>
      </c>
      <c r="B14" s="32">
        <f>'Array Core Scaling'!B14</f>
        <v>4</v>
      </c>
      <c r="C14" s="32">
        <f>'Array Core Scaling'!C14</f>
        <v>8</v>
      </c>
      <c r="D14" s="32">
        <f>'Array Core Scaling'!D14</f>
        <v>16</v>
      </c>
      <c r="E14" s="32">
        <f>'Array Core Scaling'!E14</f>
        <v>16</v>
      </c>
      <c r="F14" s="32">
        <f>'Array Core Scaling'!F14</f>
        <v>16</v>
      </c>
      <c r="G14" s="32">
        <f>'Array Core Scaling'!G14</f>
        <v>16</v>
      </c>
      <c r="H14" s="52">
        <f>'Array Core Scaling'!H14</f>
        <v>32</v>
      </c>
    </row>
    <row r="15" spans="1:8" x14ac:dyDescent="0.25">
      <c r="A15" s="31" t="s">
        <v>123</v>
      </c>
      <c r="B15" s="32">
        <f>'Array Core Scaling'!B15</f>
        <v>4</v>
      </c>
      <c r="C15" s="32">
        <f>'Array Core Scaling'!C15</f>
        <v>4</v>
      </c>
      <c r="D15" s="32">
        <f>'Array Core Scaling'!D15</f>
        <v>8</v>
      </c>
      <c r="E15" s="32">
        <f>'Array Core Scaling'!E15</f>
        <v>8</v>
      </c>
      <c r="F15" s="32">
        <f>'Array Core Scaling'!F15</f>
        <v>8</v>
      </c>
      <c r="G15" s="32">
        <f>'Array Core Scaling'!G15</f>
        <v>16</v>
      </c>
      <c r="H15" s="52">
        <f>'Array Core Scaling'!H15</f>
        <v>8</v>
      </c>
    </row>
    <row r="16" spans="1:8" x14ac:dyDescent="0.25">
      <c r="A16" s="31"/>
      <c r="B16" s="36"/>
      <c r="C16" s="36"/>
      <c r="D16" s="36"/>
      <c r="E16" s="36"/>
      <c r="F16" s="36"/>
      <c r="G16" s="36"/>
      <c r="H16" s="54"/>
    </row>
    <row r="17" spans="1:8" x14ac:dyDescent="0.25">
      <c r="A17" s="31" t="s">
        <v>47</v>
      </c>
      <c r="B17" s="32">
        <f>'Array Core Scaling'!B17</f>
        <v>16</v>
      </c>
      <c r="C17" s="32">
        <f>'Array Core Scaling'!C17</f>
        <v>32</v>
      </c>
      <c r="D17" s="32">
        <f>'Array Core Scaling'!D17</f>
        <v>32</v>
      </c>
      <c r="E17" s="32">
        <f>'Array Core Scaling'!E17</f>
        <v>32</v>
      </c>
      <c r="F17" s="32">
        <f>'Array Core Scaling'!F17</f>
        <v>32</v>
      </c>
      <c r="G17" s="32">
        <f>'Array Core Scaling'!G17</f>
        <v>32</v>
      </c>
      <c r="H17" s="52">
        <f>'Array Core Scaling'!H17</f>
        <v>32</v>
      </c>
    </row>
    <row r="18" spans="1:8" x14ac:dyDescent="0.25">
      <c r="A18" s="31" t="s">
        <v>127</v>
      </c>
      <c r="B18" s="32">
        <f>'Array Core Scaling'!B18</f>
        <v>1</v>
      </c>
      <c r="C18" s="32">
        <f>'Array Core Scaling'!C18</f>
        <v>1</v>
      </c>
      <c r="D18" s="32">
        <f>'Array Core Scaling'!D18</f>
        <v>1</v>
      </c>
      <c r="E18" s="32">
        <f>'Array Core Scaling'!E18</f>
        <v>1</v>
      </c>
      <c r="F18" s="32">
        <f>'Array Core Scaling'!F18</f>
        <v>1</v>
      </c>
      <c r="G18" s="32">
        <f>'Array Core Scaling'!G18</f>
        <v>1</v>
      </c>
      <c r="H18" s="52">
        <f>'Array Core Scaling'!H18</f>
        <v>1</v>
      </c>
    </row>
    <row r="19" spans="1:8" x14ac:dyDescent="0.25">
      <c r="A19" s="31" t="s">
        <v>135</v>
      </c>
      <c r="B19" s="32">
        <f>'Array Core Scaling'!B19</f>
        <v>16</v>
      </c>
      <c r="C19" s="32">
        <f>'Array Core Scaling'!C19</f>
        <v>16</v>
      </c>
      <c r="D19" s="32">
        <f>'Array Core Scaling'!D19</f>
        <v>16</v>
      </c>
      <c r="E19" s="32">
        <f>'Array Core Scaling'!E19</f>
        <v>16</v>
      </c>
      <c r="F19" s="32">
        <f>'Array Core Scaling'!F19</f>
        <v>16</v>
      </c>
      <c r="G19" s="32">
        <f>'Array Core Scaling'!G19</f>
        <v>32</v>
      </c>
      <c r="H19" s="52">
        <f>'Array Core Scaling'!H19</f>
        <v>32</v>
      </c>
    </row>
    <row r="20" spans="1:8" x14ac:dyDescent="0.25">
      <c r="A20" s="31" t="s">
        <v>128</v>
      </c>
      <c r="B20" s="32">
        <f>'Array Core Scaling'!B20</f>
        <v>16</v>
      </c>
      <c r="C20" s="32">
        <f>'Array Core Scaling'!C20</f>
        <v>16</v>
      </c>
      <c r="D20" s="32">
        <f>'Array Core Scaling'!D20</f>
        <v>16</v>
      </c>
      <c r="E20" s="32">
        <f>'Array Core Scaling'!E20</f>
        <v>16</v>
      </c>
      <c r="F20" s="32">
        <f>'Array Core Scaling'!F20</f>
        <v>16</v>
      </c>
      <c r="G20" s="32">
        <f>'Array Core Scaling'!G20</f>
        <v>32</v>
      </c>
      <c r="H20" s="52">
        <f>'Array Core Scaling'!H20</f>
        <v>32</v>
      </c>
    </row>
    <row r="21" spans="1:8" x14ac:dyDescent="0.25">
      <c r="A21" s="31" t="s">
        <v>48</v>
      </c>
      <c r="B21" s="32">
        <f>'Array Core Scaling'!B21</f>
        <v>4</v>
      </c>
      <c r="C21" s="32">
        <f>'Array Core Scaling'!C21</f>
        <v>1</v>
      </c>
      <c r="D21" s="32">
        <f>'Array Core Scaling'!D21</f>
        <v>2</v>
      </c>
      <c r="E21" s="32">
        <f>'Array Core Scaling'!E21</f>
        <v>2</v>
      </c>
      <c r="F21" s="32">
        <f>'Array Core Scaling'!F21</f>
        <v>2</v>
      </c>
      <c r="G21" s="32">
        <f>'Array Core Scaling'!G21</f>
        <v>2</v>
      </c>
      <c r="H21" s="52">
        <f>'Array Core Scaling'!H21</f>
        <v>2</v>
      </c>
    </row>
    <row r="22" spans="1:8" x14ac:dyDescent="0.25">
      <c r="A22" s="31" t="s">
        <v>129</v>
      </c>
      <c r="B22" s="32">
        <f>'Array Core Scaling'!B22</f>
        <v>256</v>
      </c>
      <c r="C22" s="32">
        <f>'Array Core Scaling'!C22</f>
        <v>512</v>
      </c>
      <c r="D22" s="32">
        <f>'Array Core Scaling'!D22</f>
        <v>512</v>
      </c>
      <c r="E22" s="32">
        <f>'Array Core Scaling'!E22</f>
        <v>512</v>
      </c>
      <c r="F22" s="32">
        <f>'Array Core Scaling'!F22</f>
        <v>512</v>
      </c>
      <c r="G22" s="32">
        <f>'Array Core Scaling'!G22</f>
        <v>1024</v>
      </c>
      <c r="H22" s="52">
        <f>'Array Core Scaling'!H22</f>
        <v>1024</v>
      </c>
    </row>
    <row r="23" spans="1:8" x14ac:dyDescent="0.25">
      <c r="A23" s="31" t="s">
        <v>134</v>
      </c>
      <c r="B23" s="36">
        <f>'Array Core Scaling'!B23</f>
        <v>550</v>
      </c>
      <c r="C23" s="36">
        <f>'Array Core Scaling'!C23</f>
        <v>1100</v>
      </c>
      <c r="D23" s="36">
        <f>'Array Core Scaling'!D23</f>
        <v>1100</v>
      </c>
      <c r="E23" s="36">
        <f>'Array Core Scaling'!E23</f>
        <v>1100</v>
      </c>
      <c r="F23" s="36">
        <f>'Array Core Scaling'!F23</f>
        <v>1100</v>
      </c>
      <c r="G23" s="36">
        <f>'Array Core Scaling'!G23</f>
        <v>2200</v>
      </c>
      <c r="H23" s="54">
        <f>'Array Core Scaling'!H23</f>
        <v>2200</v>
      </c>
    </row>
    <row r="24" spans="1:8" x14ac:dyDescent="0.25">
      <c r="A24" s="31"/>
      <c r="B24" s="32"/>
      <c r="C24" s="32"/>
      <c r="D24" s="32"/>
      <c r="E24" s="32"/>
      <c r="F24" s="32"/>
      <c r="G24" s="32"/>
      <c r="H24" s="52"/>
    </row>
    <row r="25" spans="1:8" x14ac:dyDescent="0.25">
      <c r="A25" s="31"/>
      <c r="B25" s="32"/>
      <c r="C25" s="32"/>
      <c r="D25" s="32"/>
      <c r="E25" s="32"/>
      <c r="F25" s="32"/>
      <c r="G25" s="32"/>
      <c r="H25" s="52"/>
    </row>
    <row r="26" spans="1:8" x14ac:dyDescent="0.25">
      <c r="A26" s="31" t="s">
        <v>55</v>
      </c>
      <c r="B26" s="32">
        <f>'Array Core Scaling'!B26</f>
        <v>2048</v>
      </c>
      <c r="C26" s="32">
        <f>'Array Core Scaling'!C26</f>
        <v>4096</v>
      </c>
      <c r="D26" s="32">
        <f>'Array Core Scaling'!D26</f>
        <v>4096</v>
      </c>
      <c r="E26" s="32">
        <f>'Array Core Scaling'!E26</f>
        <v>4096</v>
      </c>
      <c r="F26" s="32">
        <f>'Array Core Scaling'!F26</f>
        <v>4096</v>
      </c>
      <c r="G26" s="32">
        <f>'Array Core Scaling'!G26</f>
        <v>2048</v>
      </c>
      <c r="H26" s="52">
        <f>'Array Core Scaling'!H26</f>
        <v>4096</v>
      </c>
    </row>
    <row r="27" spans="1:8" x14ac:dyDescent="0.25">
      <c r="A27" s="31" t="s">
        <v>56</v>
      </c>
      <c r="B27" s="32">
        <f>'Array Core Scaling'!B27</f>
        <v>4096</v>
      </c>
      <c r="C27" s="32">
        <f>'Array Core Scaling'!C27</f>
        <v>4096</v>
      </c>
      <c r="D27" s="32">
        <f>'Array Core Scaling'!D27</f>
        <v>4096</v>
      </c>
      <c r="E27" s="32">
        <f>'Array Core Scaling'!E27</f>
        <v>4096</v>
      </c>
      <c r="F27" s="32">
        <f>'Array Core Scaling'!F27</f>
        <v>4096</v>
      </c>
      <c r="G27" s="32">
        <f>'Array Core Scaling'!G27</f>
        <v>4096</v>
      </c>
      <c r="H27" s="52">
        <f>'Array Core Scaling'!H27</f>
        <v>2048</v>
      </c>
    </row>
    <row r="28" spans="1:8" x14ac:dyDescent="0.25">
      <c r="A28" s="31" t="s">
        <v>57</v>
      </c>
      <c r="B28" s="32">
        <f>'Array Core Scaling'!B28</f>
        <v>4096</v>
      </c>
      <c r="C28" s="32">
        <f>'Array Core Scaling'!C28</f>
        <v>16384</v>
      </c>
      <c r="D28" s="32">
        <f>'Array Core Scaling'!D28</f>
        <v>16384</v>
      </c>
      <c r="E28" s="32">
        <f>'Array Core Scaling'!E28</f>
        <v>16384</v>
      </c>
      <c r="F28" s="32">
        <f>'Array Core Scaling'!F28</f>
        <v>16384</v>
      </c>
      <c r="G28" s="32">
        <f>'Array Core Scaling'!G28</f>
        <v>8192</v>
      </c>
      <c r="H28" s="52">
        <f>'Array Core Scaling'!H28</f>
        <v>16384</v>
      </c>
    </row>
    <row r="29" spans="1:8" x14ac:dyDescent="0.25">
      <c r="A29" s="31" t="s">
        <v>58</v>
      </c>
      <c r="B29" s="32">
        <f>'Array Core Scaling'!B29</f>
        <v>4096</v>
      </c>
      <c r="C29" s="32">
        <f>'Array Core Scaling'!C29</f>
        <v>8192</v>
      </c>
      <c r="D29" s="32">
        <f>'Array Core Scaling'!D29</f>
        <v>8192</v>
      </c>
      <c r="E29" s="32">
        <f>'Array Core Scaling'!E29</f>
        <v>8192</v>
      </c>
      <c r="F29" s="32">
        <f>'Array Core Scaling'!F29</f>
        <v>8192</v>
      </c>
      <c r="G29" s="32">
        <f>'Array Core Scaling'!G29</f>
        <v>8192</v>
      </c>
      <c r="H29" s="52">
        <f>'Array Core Scaling'!H29</f>
        <v>4096</v>
      </c>
    </row>
    <row r="30" spans="1:8" x14ac:dyDescent="0.25">
      <c r="A30" s="31"/>
      <c r="B30" s="32"/>
      <c r="C30" s="32"/>
      <c r="D30" s="32"/>
      <c r="E30" s="32"/>
      <c r="F30" s="32"/>
      <c r="G30" s="32"/>
      <c r="H30" s="52"/>
    </row>
    <row r="31" spans="1:8" x14ac:dyDescent="0.25">
      <c r="A31" s="31"/>
      <c r="B31" s="32"/>
      <c r="C31" s="32"/>
      <c r="D31" s="32"/>
      <c r="E31" s="32"/>
      <c r="F31" s="32"/>
      <c r="G31" s="32"/>
      <c r="H31" s="52"/>
    </row>
    <row r="32" spans="1:8" x14ac:dyDescent="0.25">
      <c r="A32" s="31" t="s">
        <v>59</v>
      </c>
      <c r="B32" s="32">
        <f>'Array Core Scaling'!B32</f>
        <v>16</v>
      </c>
      <c r="C32" s="32">
        <f>'Array Core Scaling'!C32</f>
        <v>64</v>
      </c>
      <c r="D32" s="32">
        <f>'Array Core Scaling'!D32</f>
        <v>64</v>
      </c>
      <c r="E32" s="32">
        <f>'Array Core Scaling'!E32</f>
        <v>64</v>
      </c>
      <c r="F32" s="32">
        <f>'Array Core Scaling'!F32</f>
        <v>64</v>
      </c>
      <c r="G32" s="32">
        <f>'Array Core Scaling'!G32</f>
        <v>32</v>
      </c>
      <c r="H32" s="52">
        <f>'Array Core Scaling'!H32</f>
        <v>32</v>
      </c>
    </row>
    <row r="33" spans="1:8" x14ac:dyDescent="0.25">
      <c r="A33" s="31" t="s">
        <v>145</v>
      </c>
      <c r="B33" s="32">
        <f>'Array Core Scaling'!B33</f>
        <v>1</v>
      </c>
      <c r="C33" s="32">
        <f>'Array Core Scaling'!C33</f>
        <v>1</v>
      </c>
      <c r="D33" s="32">
        <f>'Array Core Scaling'!D33</f>
        <v>2</v>
      </c>
      <c r="E33" s="32">
        <f>'Array Core Scaling'!E33</f>
        <v>2</v>
      </c>
      <c r="F33" s="32">
        <f>'Array Core Scaling'!F33</f>
        <v>2</v>
      </c>
      <c r="G33" s="32">
        <f>'Array Core Scaling'!G33</f>
        <v>2</v>
      </c>
      <c r="H33" s="52">
        <f>'Array Core Scaling'!H33</f>
        <v>2</v>
      </c>
    </row>
    <row r="34" spans="1:8" x14ac:dyDescent="0.25">
      <c r="A34" s="31"/>
      <c r="B34" s="32"/>
      <c r="C34" s="32"/>
      <c r="D34" s="32"/>
      <c r="E34" s="32"/>
      <c r="F34" s="32"/>
      <c r="G34" s="38"/>
      <c r="H34" s="56"/>
    </row>
    <row r="35" spans="1:8" x14ac:dyDescent="0.25">
      <c r="A35" s="31"/>
      <c r="B35" s="32"/>
      <c r="C35" s="32"/>
      <c r="D35" s="32"/>
      <c r="E35" s="32"/>
      <c r="F35" s="32"/>
      <c r="G35" s="38"/>
      <c r="H35" s="56"/>
    </row>
    <row r="36" spans="1:8" x14ac:dyDescent="0.25">
      <c r="A36" s="31" t="s">
        <v>149</v>
      </c>
      <c r="B36" s="32">
        <f>300</f>
        <v>300</v>
      </c>
      <c r="C36" s="32">
        <f>200</f>
        <v>200</v>
      </c>
      <c r="D36" s="32"/>
      <c r="E36" s="32"/>
      <c r="F36" s="32"/>
      <c r="G36" s="32"/>
      <c r="H36" s="52"/>
    </row>
    <row r="37" spans="1:8" x14ac:dyDescent="0.25">
      <c r="A37" s="31" t="s">
        <v>150</v>
      </c>
      <c r="B37" s="32">
        <f>500</f>
        <v>500</v>
      </c>
      <c r="C37" s="32">
        <f>200</f>
        <v>200</v>
      </c>
      <c r="D37" s="32"/>
      <c r="E37" s="32"/>
      <c r="F37" s="32"/>
      <c r="G37" s="32"/>
      <c r="H37" s="52"/>
    </row>
    <row r="38" spans="1:8" x14ac:dyDescent="0.25">
      <c r="A38" s="31" t="s">
        <v>161</v>
      </c>
      <c r="B38" s="32">
        <f>B26</f>
        <v>2048</v>
      </c>
      <c r="C38" s="32">
        <f>C26/2*3/4</f>
        <v>1536</v>
      </c>
      <c r="D38" s="32"/>
      <c r="E38" s="32"/>
      <c r="F38" s="32"/>
      <c r="G38" s="38"/>
      <c r="H38" s="56"/>
    </row>
    <row r="39" spans="1:8" x14ac:dyDescent="0.25">
      <c r="A39" s="31" t="s">
        <v>151</v>
      </c>
      <c r="B39" s="32">
        <f>B27/2</f>
        <v>2048</v>
      </c>
      <c r="C39" s="32">
        <f>C27/2</f>
        <v>2048</v>
      </c>
      <c r="D39" s="32"/>
      <c r="E39" s="32"/>
      <c r="F39" s="32"/>
      <c r="G39" s="32"/>
      <c r="H39" s="52"/>
    </row>
    <row r="40" spans="1:8" x14ac:dyDescent="0.25">
      <c r="A40" s="31" t="s">
        <v>152</v>
      </c>
      <c r="B40" s="32">
        <f>B38+B36</f>
        <v>2348</v>
      </c>
      <c r="C40" s="32">
        <f>C38+C36</f>
        <v>1736</v>
      </c>
      <c r="D40" s="32"/>
      <c r="E40" s="32"/>
      <c r="F40" s="32"/>
      <c r="G40" s="32"/>
      <c r="H40" s="52"/>
    </row>
    <row r="41" spans="1:8" x14ac:dyDescent="0.25">
      <c r="A41" s="31" t="s">
        <v>153</v>
      </c>
      <c r="B41" s="32">
        <f>B39+B37</f>
        <v>2548</v>
      </c>
      <c r="C41" s="32">
        <f>C39+C37</f>
        <v>2248</v>
      </c>
      <c r="D41" s="32"/>
      <c r="E41" s="32"/>
      <c r="F41" s="32"/>
      <c r="G41" s="38"/>
      <c r="H41" s="56"/>
    </row>
    <row r="42" spans="1:8" x14ac:dyDescent="0.25">
      <c r="A42" s="31"/>
      <c r="B42" s="32"/>
      <c r="C42" s="32"/>
      <c r="D42" s="32"/>
      <c r="E42" s="32"/>
      <c r="F42" s="32"/>
      <c r="G42" s="38"/>
      <c r="H42" s="56"/>
    </row>
    <row r="43" spans="1:8" x14ac:dyDescent="0.25">
      <c r="A43" s="31" t="s">
        <v>163</v>
      </c>
      <c r="B43" s="32">
        <v>110</v>
      </c>
      <c r="C43" s="32">
        <v>110</v>
      </c>
      <c r="D43" s="32"/>
      <c r="E43" s="32"/>
      <c r="F43" s="32"/>
      <c r="G43" s="38"/>
      <c r="H43" s="56"/>
    </row>
    <row r="44" spans="1:8" x14ac:dyDescent="0.25">
      <c r="A44" s="31" t="s">
        <v>164</v>
      </c>
      <c r="B44" s="32">
        <v>35</v>
      </c>
      <c r="C44" s="32">
        <v>35</v>
      </c>
      <c r="D44" s="32"/>
      <c r="E44" s="32"/>
      <c r="F44" s="32"/>
      <c r="G44" s="38"/>
      <c r="H44" s="56"/>
    </row>
    <row r="45" spans="1:8" x14ac:dyDescent="0.25">
      <c r="A45" s="31" t="s">
        <v>165</v>
      </c>
      <c r="B45" s="32">
        <v>1</v>
      </c>
      <c r="C45" s="32">
        <v>1</v>
      </c>
      <c r="D45" s="32"/>
      <c r="E45" s="32"/>
      <c r="F45" s="32"/>
      <c r="G45" s="38"/>
      <c r="H45" s="56"/>
    </row>
    <row r="46" spans="1:8" x14ac:dyDescent="0.25">
      <c r="A46" s="31" t="s">
        <v>166</v>
      </c>
      <c r="B46" s="32">
        <v>5</v>
      </c>
      <c r="C46" s="32">
        <f>B46</f>
        <v>5</v>
      </c>
      <c r="D46" s="32"/>
      <c r="E46" s="32"/>
      <c r="F46" s="32"/>
      <c r="G46" s="38"/>
      <c r="H46" s="56"/>
    </row>
    <row r="47" spans="1:8" x14ac:dyDescent="0.25">
      <c r="A47" s="31" t="s">
        <v>167</v>
      </c>
      <c r="B47" s="32">
        <v>11</v>
      </c>
      <c r="C47" s="32">
        <f>B47</f>
        <v>11</v>
      </c>
      <c r="D47" s="32"/>
      <c r="E47" s="32"/>
      <c r="F47" s="32"/>
      <c r="G47" s="32"/>
      <c r="H47" s="52"/>
    </row>
    <row r="48" spans="1:8" x14ac:dyDescent="0.25">
      <c r="A48" s="31"/>
      <c r="B48" s="32"/>
      <c r="C48" s="32"/>
      <c r="D48" s="32"/>
      <c r="E48" s="32"/>
      <c r="F48" s="32"/>
      <c r="G48" s="38"/>
      <c r="H48" s="56"/>
    </row>
    <row r="49" spans="1:8" x14ac:dyDescent="0.25">
      <c r="A49" s="31"/>
      <c r="B49" s="32"/>
      <c r="C49" s="32"/>
      <c r="D49" s="32"/>
      <c r="E49" s="32"/>
      <c r="F49" s="32"/>
      <c r="G49" s="38"/>
      <c r="H49" s="56"/>
    </row>
    <row r="50" spans="1:8" x14ac:dyDescent="0.25">
      <c r="A50" s="31"/>
      <c r="B50" s="32"/>
      <c r="C50" s="32"/>
      <c r="D50" s="32"/>
      <c r="E50" s="32"/>
      <c r="F50" s="32"/>
      <c r="G50" s="38"/>
      <c r="H50" s="56"/>
    </row>
    <row r="51" spans="1:8" x14ac:dyDescent="0.25">
      <c r="A51" s="31" t="s">
        <v>154</v>
      </c>
      <c r="B51" s="32">
        <f>B46*B45</f>
        <v>5</v>
      </c>
      <c r="C51" s="32">
        <f>C46*C45</f>
        <v>5</v>
      </c>
      <c r="D51" s="32"/>
      <c r="E51" s="32"/>
      <c r="F51" s="32"/>
      <c r="G51" s="38"/>
      <c r="H51" s="56"/>
    </row>
    <row r="52" spans="1:8" x14ac:dyDescent="0.25">
      <c r="A52" s="31" t="s">
        <v>155</v>
      </c>
      <c r="B52" s="32">
        <f>B47*B45</f>
        <v>11</v>
      </c>
      <c r="C52" s="32">
        <f>C47*C45</f>
        <v>11</v>
      </c>
      <c r="D52" s="32"/>
      <c r="E52" s="32"/>
      <c r="F52" s="32"/>
      <c r="G52" s="32"/>
      <c r="H52" s="52"/>
    </row>
    <row r="53" spans="1:8" x14ac:dyDescent="0.25">
      <c r="A53" s="31" t="s">
        <v>159</v>
      </c>
      <c r="B53" s="32">
        <f>B36*B51/10^3</f>
        <v>1.5</v>
      </c>
      <c r="C53" s="32">
        <f>C36*C51/10^3</f>
        <v>1</v>
      </c>
      <c r="D53" s="32"/>
      <c r="E53" s="32"/>
      <c r="F53" s="32"/>
      <c r="G53" s="32"/>
      <c r="H53" s="52"/>
    </row>
    <row r="54" spans="1:8" x14ac:dyDescent="0.25">
      <c r="A54" s="31" t="s">
        <v>156</v>
      </c>
      <c r="B54" s="58">
        <f>B51*B40/10^3</f>
        <v>11.74</v>
      </c>
      <c r="C54" s="58">
        <f>C51*C40/10^3</f>
        <v>8.68</v>
      </c>
      <c r="D54" s="32"/>
      <c r="E54" s="32"/>
      <c r="F54" s="32"/>
      <c r="G54" s="38"/>
      <c r="H54" s="56"/>
    </row>
    <row r="55" spans="1:8" x14ac:dyDescent="0.25">
      <c r="A55" s="31" t="s">
        <v>160</v>
      </c>
      <c r="B55" s="32">
        <v>0</v>
      </c>
      <c r="C55" s="32">
        <v>0</v>
      </c>
      <c r="D55" s="32"/>
      <c r="E55" s="32"/>
      <c r="F55" s="32"/>
      <c r="G55" s="32"/>
      <c r="H55" s="52"/>
    </row>
    <row r="56" spans="1:8" x14ac:dyDescent="0.25">
      <c r="A56" s="31" t="s">
        <v>157</v>
      </c>
      <c r="B56" s="58">
        <f>B52*B41/10^3</f>
        <v>28.027999999999999</v>
      </c>
      <c r="C56" s="58">
        <f>C52*C41/10^3</f>
        <v>24.728000000000002</v>
      </c>
      <c r="D56" s="32"/>
      <c r="E56" s="32"/>
      <c r="F56" s="32"/>
      <c r="G56" s="32"/>
      <c r="H56" s="52"/>
    </row>
    <row r="57" spans="1:8" x14ac:dyDescent="0.25">
      <c r="A57" s="31" t="s">
        <v>162</v>
      </c>
      <c r="B57" s="58">
        <f>B53+B55</f>
        <v>1.5</v>
      </c>
      <c r="C57" s="58">
        <f>C53+C55</f>
        <v>1</v>
      </c>
      <c r="D57" s="32"/>
      <c r="E57" s="32"/>
      <c r="F57" s="32"/>
      <c r="G57" s="32"/>
      <c r="H57" s="52"/>
    </row>
    <row r="58" spans="1:8" x14ac:dyDescent="0.25">
      <c r="A58" s="31" t="s">
        <v>158</v>
      </c>
      <c r="B58" s="58">
        <f>B54+B56</f>
        <v>39.768000000000001</v>
      </c>
      <c r="C58" s="58">
        <f>C54+C56</f>
        <v>33.408000000000001</v>
      </c>
      <c r="D58" s="32"/>
      <c r="E58" s="32"/>
      <c r="F58" s="32"/>
      <c r="G58" s="32"/>
      <c r="H58" s="52"/>
    </row>
    <row r="59" spans="1:8" x14ac:dyDescent="0.25">
      <c r="A59" s="31"/>
      <c r="B59" s="32"/>
      <c r="C59" s="32"/>
      <c r="D59" s="32"/>
      <c r="E59" s="32"/>
      <c r="F59" s="32"/>
      <c r="G59" s="38"/>
      <c r="H59" s="56"/>
    </row>
    <row r="60" spans="1:8" x14ac:dyDescent="0.25">
      <c r="A60" s="31"/>
      <c r="B60" s="32"/>
      <c r="C60" s="32"/>
      <c r="D60" s="32"/>
      <c r="E60" s="32"/>
      <c r="F60" s="32"/>
      <c r="G60" s="38"/>
      <c r="H60" s="56"/>
    </row>
    <row r="61" spans="1:8" x14ac:dyDescent="0.25">
      <c r="A61" s="31"/>
      <c r="B61" s="32"/>
      <c r="C61" s="32"/>
      <c r="D61" s="32"/>
      <c r="E61" s="32"/>
      <c r="F61" s="32"/>
      <c r="G61" s="32"/>
      <c r="H61" s="52"/>
    </row>
    <row r="62" spans="1:8" x14ac:dyDescent="0.25">
      <c r="A62" s="31"/>
      <c r="B62" s="32"/>
      <c r="C62" s="32"/>
      <c r="D62" s="32"/>
      <c r="E62" s="32"/>
      <c r="F62" s="32"/>
      <c r="G62" s="38"/>
      <c r="H62" s="56"/>
    </row>
    <row r="63" spans="1:8" x14ac:dyDescent="0.25">
      <c r="A63" s="31"/>
      <c r="B63" s="32"/>
      <c r="C63" s="32"/>
      <c r="D63" s="32"/>
      <c r="E63" s="32"/>
      <c r="F63" s="32"/>
      <c r="G63" s="32"/>
      <c r="H63" s="52"/>
    </row>
    <row r="64" spans="1:8" x14ac:dyDescent="0.25">
      <c r="A64" s="31"/>
      <c r="B64" s="32"/>
      <c r="C64" s="32"/>
      <c r="D64" s="32"/>
      <c r="E64" s="32"/>
      <c r="F64" s="32"/>
      <c r="G64" s="32"/>
      <c r="H64" s="52"/>
    </row>
    <row r="65" spans="1:8" x14ac:dyDescent="0.25">
      <c r="A65" s="31"/>
      <c r="B65" s="32"/>
      <c r="C65" s="32"/>
      <c r="D65" s="32"/>
      <c r="E65" s="32"/>
      <c r="F65" s="32"/>
      <c r="G65" s="38"/>
      <c r="H65" s="56"/>
    </row>
    <row r="66" spans="1:8" x14ac:dyDescent="0.25">
      <c r="A66" s="31"/>
      <c r="B66" s="32"/>
      <c r="C66" s="32"/>
      <c r="D66" s="32"/>
      <c r="E66" s="32"/>
      <c r="F66" s="32"/>
      <c r="G66" s="38"/>
      <c r="H66" s="56"/>
    </row>
    <row r="67" spans="1:8" x14ac:dyDescent="0.25">
      <c r="A67" s="31"/>
      <c r="B67" s="32"/>
      <c r="C67" s="32"/>
      <c r="D67" s="32"/>
      <c r="E67" s="32"/>
      <c r="F67" s="32"/>
      <c r="G67" s="32"/>
      <c r="H67" s="52"/>
    </row>
    <row r="68" spans="1:8" x14ac:dyDescent="0.25">
      <c r="A68" s="31"/>
      <c r="B68" s="32"/>
      <c r="C68" s="32"/>
      <c r="D68" s="32"/>
      <c r="E68" s="32"/>
      <c r="F68" s="32"/>
      <c r="G68" s="38"/>
      <c r="H68" s="56"/>
    </row>
    <row r="69" spans="1:8" x14ac:dyDescent="0.25">
      <c r="A69" s="31"/>
      <c r="B69" s="32"/>
      <c r="C69" s="32"/>
      <c r="D69" s="32"/>
      <c r="E69" s="32"/>
      <c r="F69" s="32"/>
      <c r="G69" s="32"/>
      <c r="H69" s="52"/>
    </row>
    <row r="70" spans="1:8" x14ac:dyDescent="0.25">
      <c r="A70" s="31"/>
      <c r="B70" s="32"/>
      <c r="C70" s="32"/>
      <c r="D70" s="32"/>
      <c r="E70" s="32"/>
      <c r="F70" s="32"/>
      <c r="G70" s="32"/>
      <c r="H70" s="52"/>
    </row>
    <row r="71" spans="1:8" x14ac:dyDescent="0.25">
      <c r="A71" s="31"/>
      <c r="B71" s="32"/>
      <c r="C71" s="32"/>
      <c r="D71" s="32"/>
      <c r="E71" s="32"/>
      <c r="F71" s="32"/>
      <c r="G71" s="38"/>
      <c r="H71" s="56"/>
    </row>
    <row r="72" spans="1:8" x14ac:dyDescent="0.25">
      <c r="A72" s="31"/>
      <c r="B72" s="32"/>
      <c r="C72" s="32"/>
      <c r="D72" s="32"/>
      <c r="E72" s="32"/>
      <c r="F72" s="32"/>
      <c r="G72" s="38"/>
      <c r="H72" s="56"/>
    </row>
    <row r="73" spans="1:8" x14ac:dyDescent="0.25">
      <c r="A73" s="31"/>
      <c r="B73" s="32"/>
      <c r="C73" s="32"/>
      <c r="D73" s="32"/>
      <c r="E73" s="32"/>
      <c r="F73" s="32"/>
      <c r="G73" s="32"/>
      <c r="H73" s="52"/>
    </row>
    <row r="74" spans="1:8" x14ac:dyDescent="0.25">
      <c r="A74" s="31"/>
      <c r="B74" s="32"/>
      <c r="C74" s="32"/>
      <c r="D74" s="32"/>
      <c r="E74" s="32"/>
      <c r="F74" s="32"/>
      <c r="G74" s="38"/>
      <c r="H74" s="56"/>
    </row>
    <row r="75" spans="1:8" x14ac:dyDescent="0.25">
      <c r="A75" s="31"/>
      <c r="B75" s="32"/>
      <c r="C75" s="32"/>
      <c r="D75" s="32"/>
      <c r="E75" s="32"/>
      <c r="F75" s="32"/>
      <c r="G75" s="32"/>
      <c r="H75" s="52"/>
    </row>
    <row r="76" spans="1:8" x14ac:dyDescent="0.25">
      <c r="A76" s="31"/>
      <c r="B76" s="32"/>
      <c r="C76" s="32"/>
      <c r="D76" s="32"/>
      <c r="E76" s="32"/>
      <c r="F76" s="32"/>
      <c r="G76" s="32"/>
      <c r="H76" s="5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workbookViewId="0">
      <selection activeCell="B24" sqref="B24"/>
    </sheetView>
  </sheetViews>
  <sheetFormatPr defaultRowHeight="15" x14ac:dyDescent="0.25"/>
  <cols>
    <col min="1" max="1" width="46.42578125" customWidth="1"/>
    <col min="2" max="2" width="11.7109375" customWidth="1"/>
    <col min="3" max="3" width="12" customWidth="1"/>
    <col min="4" max="4" width="14.28515625" customWidth="1"/>
    <col min="5" max="6" width="17.5703125" customWidth="1"/>
    <col min="7" max="7" width="18.28515625" customWidth="1"/>
    <col min="8" max="8" width="20.7109375" hidden="1" customWidth="1"/>
    <col min="9" max="11" width="20.7109375" customWidth="1"/>
    <col min="12" max="16" width="18.28515625" customWidth="1"/>
    <col min="17" max="17" width="17.85546875" customWidth="1"/>
    <col min="18" max="18" width="9" customWidth="1"/>
    <col min="19" max="19" width="12" customWidth="1"/>
    <col min="20" max="20" width="57.7109375" customWidth="1"/>
  </cols>
  <sheetData>
    <row r="1" spans="1:21" ht="90" x14ac:dyDescent="0.25">
      <c r="A1" s="1" t="s">
        <v>63</v>
      </c>
      <c r="B1" s="2" t="s">
        <v>64</v>
      </c>
      <c r="C1" s="2" t="s">
        <v>65</v>
      </c>
      <c r="D1" s="2" t="s">
        <v>66</v>
      </c>
      <c r="E1" s="2" t="s">
        <v>67</v>
      </c>
      <c r="F1" s="2" t="s">
        <v>68</v>
      </c>
      <c r="G1" s="2" t="s">
        <v>69</v>
      </c>
      <c r="H1" s="2" t="s">
        <v>70</v>
      </c>
      <c r="I1" s="2" t="s">
        <v>71</v>
      </c>
      <c r="J1" s="2" t="s">
        <v>72</v>
      </c>
      <c r="K1" s="2" t="s">
        <v>73</v>
      </c>
      <c r="L1" s="2" t="s">
        <v>74</v>
      </c>
      <c r="M1" s="2" t="s">
        <v>75</v>
      </c>
      <c r="N1" s="2" t="s">
        <v>76</v>
      </c>
      <c r="O1" s="2" t="s">
        <v>77</v>
      </c>
      <c r="P1" s="2" t="s">
        <v>78</v>
      </c>
      <c r="Q1" s="2" t="s">
        <v>79</v>
      </c>
      <c r="R1" s="2" t="s">
        <v>80</v>
      </c>
      <c r="S1" s="2" t="s">
        <v>81</v>
      </c>
      <c r="T1" s="2" t="s">
        <v>82</v>
      </c>
      <c r="U1" s="3" t="s">
        <v>83</v>
      </c>
    </row>
    <row r="2" spans="1:21" x14ac:dyDescent="0.25">
      <c r="A2" s="4" t="s">
        <v>84</v>
      </c>
      <c r="B2" s="5">
        <v>20.5</v>
      </c>
      <c r="C2" s="5">
        <v>20.5</v>
      </c>
      <c r="D2" s="5">
        <v>20.5</v>
      </c>
      <c r="E2" s="5">
        <v>20.5</v>
      </c>
      <c r="F2" s="6">
        <v>15.4</v>
      </c>
      <c r="G2" s="6">
        <v>14</v>
      </c>
      <c r="H2" s="6">
        <v>14</v>
      </c>
      <c r="I2" s="6">
        <v>14</v>
      </c>
      <c r="J2" s="6">
        <v>14</v>
      </c>
      <c r="K2" s="6">
        <v>14</v>
      </c>
      <c r="L2" s="6">
        <v>15.4</v>
      </c>
      <c r="M2" s="6">
        <v>14</v>
      </c>
      <c r="N2" s="6">
        <v>14</v>
      </c>
      <c r="O2" s="6">
        <v>14</v>
      </c>
      <c r="P2" s="6">
        <v>14</v>
      </c>
      <c r="Q2" s="6">
        <v>14</v>
      </c>
      <c r="R2" s="7">
        <v>14</v>
      </c>
      <c r="S2" s="8">
        <v>20.5</v>
      </c>
      <c r="T2" s="8">
        <v>20.5</v>
      </c>
      <c r="U2" s="9"/>
    </row>
    <row r="3" spans="1:21" x14ac:dyDescent="0.25">
      <c r="A3" s="4" t="s">
        <v>85</v>
      </c>
      <c r="B3" s="5">
        <v>1024</v>
      </c>
      <c r="C3" s="5">
        <v>1024</v>
      </c>
      <c r="D3" s="5">
        <v>1024</v>
      </c>
      <c r="E3" s="5">
        <v>1024</v>
      </c>
      <c r="F3" s="5">
        <v>1024</v>
      </c>
      <c r="G3" s="5">
        <v>1024</v>
      </c>
      <c r="H3" s="5">
        <v>1024</v>
      </c>
      <c r="I3" s="5">
        <v>1024</v>
      </c>
      <c r="J3" s="5">
        <v>1024</v>
      </c>
      <c r="K3" s="5">
        <v>1024</v>
      </c>
      <c r="L3" s="5">
        <v>1024</v>
      </c>
      <c r="M3" s="5">
        <v>1024</v>
      </c>
      <c r="N3" s="5">
        <v>1024</v>
      </c>
      <c r="O3" s="5">
        <v>1024</v>
      </c>
      <c r="P3" s="5">
        <v>2048</v>
      </c>
      <c r="Q3" s="5">
        <v>2048</v>
      </c>
      <c r="R3" s="8">
        <v>1024</v>
      </c>
      <c r="S3" s="8">
        <v>512</v>
      </c>
      <c r="T3" s="8">
        <v>512</v>
      </c>
      <c r="U3" s="9"/>
    </row>
    <row r="4" spans="1:21" x14ac:dyDescent="0.25">
      <c r="A4" s="4" t="s">
        <v>86</v>
      </c>
      <c r="B4" s="5">
        <v>16</v>
      </c>
      <c r="C4" s="5">
        <v>16</v>
      </c>
      <c r="D4" s="5">
        <v>16</v>
      </c>
      <c r="E4" s="5">
        <v>16</v>
      </c>
      <c r="F4" s="5">
        <v>16</v>
      </c>
      <c r="G4" s="5">
        <v>16</v>
      </c>
      <c r="H4" s="5">
        <v>16</v>
      </c>
      <c r="I4" s="5">
        <v>16</v>
      </c>
      <c r="J4" s="5">
        <v>16</v>
      </c>
      <c r="K4" s="5">
        <v>16</v>
      </c>
      <c r="L4" s="5">
        <v>16</v>
      </c>
      <c r="M4" s="5">
        <v>16</v>
      </c>
      <c r="N4" s="5">
        <v>16</v>
      </c>
      <c r="O4" s="5">
        <v>16</v>
      </c>
      <c r="P4" s="5">
        <v>16</v>
      </c>
      <c r="Q4" s="5">
        <v>16</v>
      </c>
      <c r="R4" s="8">
        <v>16</v>
      </c>
      <c r="S4" s="8">
        <v>8</v>
      </c>
      <c r="T4" s="8">
        <v>8</v>
      </c>
      <c r="U4" s="9"/>
    </row>
    <row r="5" spans="1:21" ht="105" x14ac:dyDescent="0.25">
      <c r="A5" s="4" t="s">
        <v>87</v>
      </c>
      <c r="B5" s="5">
        <v>20</v>
      </c>
      <c r="C5" s="5">
        <v>20</v>
      </c>
      <c r="D5" s="5">
        <v>20</v>
      </c>
      <c r="E5" s="5">
        <v>20</v>
      </c>
      <c r="F5" s="5">
        <v>20</v>
      </c>
      <c r="G5" s="5">
        <v>20</v>
      </c>
      <c r="H5" s="5">
        <v>20</v>
      </c>
      <c r="I5" s="5">
        <v>20</v>
      </c>
      <c r="J5" s="5">
        <v>20</v>
      </c>
      <c r="K5" s="5">
        <v>20</v>
      </c>
      <c r="L5" s="5">
        <v>20</v>
      </c>
      <c r="M5" s="5">
        <v>20</v>
      </c>
      <c r="N5" s="5">
        <v>20</v>
      </c>
      <c r="O5" s="5">
        <v>20</v>
      </c>
      <c r="P5" s="5">
        <v>20</v>
      </c>
      <c r="Q5" s="5">
        <v>20</v>
      </c>
      <c r="R5" s="8">
        <v>20</v>
      </c>
      <c r="S5" s="8">
        <v>24</v>
      </c>
      <c r="T5" s="8">
        <v>24</v>
      </c>
      <c r="U5" s="10" t="s">
        <v>88</v>
      </c>
    </row>
    <row r="6" spans="1:21" x14ac:dyDescent="0.25">
      <c r="A6" s="4" t="s">
        <v>89</v>
      </c>
      <c r="B6" s="5">
        <v>1024</v>
      </c>
      <c r="C6" s="5">
        <v>1024</v>
      </c>
      <c r="D6" s="5">
        <v>1024</v>
      </c>
      <c r="E6" s="5">
        <v>1024</v>
      </c>
      <c r="F6" s="5">
        <v>1024</v>
      </c>
      <c r="G6" s="5">
        <v>1024</v>
      </c>
      <c r="H6" s="5">
        <v>1024</v>
      </c>
      <c r="I6" s="5">
        <v>1024</v>
      </c>
      <c r="J6" s="5">
        <v>1024</v>
      </c>
      <c r="K6" s="5">
        <v>1024</v>
      </c>
      <c r="L6" s="5">
        <v>1024</v>
      </c>
      <c r="M6" s="5">
        <v>1024</v>
      </c>
      <c r="N6" s="5">
        <v>1024</v>
      </c>
      <c r="O6" s="5">
        <v>1024</v>
      </c>
      <c r="P6" s="5">
        <v>1024</v>
      </c>
      <c r="Q6" s="5">
        <v>1024</v>
      </c>
      <c r="R6" s="8">
        <v>1024</v>
      </c>
      <c r="S6" s="8">
        <v>1024</v>
      </c>
      <c r="T6" s="8">
        <v>1024</v>
      </c>
      <c r="U6" s="10"/>
    </row>
    <row r="7" spans="1:21" x14ac:dyDescent="0.25">
      <c r="A7" s="4" t="s">
        <v>90</v>
      </c>
      <c r="B7" s="5">
        <v>8</v>
      </c>
      <c r="C7" s="5">
        <v>8</v>
      </c>
      <c r="D7" s="5">
        <v>8</v>
      </c>
      <c r="E7" s="5">
        <v>8</v>
      </c>
      <c r="F7" s="5">
        <v>8</v>
      </c>
      <c r="G7" s="5">
        <v>8</v>
      </c>
      <c r="H7" s="5">
        <v>8</v>
      </c>
      <c r="I7" s="5">
        <v>8</v>
      </c>
      <c r="J7" s="5">
        <v>8</v>
      </c>
      <c r="K7" s="5">
        <v>8</v>
      </c>
      <c r="L7" s="5">
        <v>8</v>
      </c>
      <c r="M7" s="5">
        <v>8</v>
      </c>
      <c r="N7" s="5">
        <v>8</v>
      </c>
      <c r="O7" s="5">
        <v>8</v>
      </c>
      <c r="P7" s="5">
        <v>8</v>
      </c>
      <c r="Q7" s="5">
        <v>8</v>
      </c>
      <c r="R7" s="8">
        <v>8</v>
      </c>
      <c r="S7" s="8">
        <v>8</v>
      </c>
      <c r="T7" s="8">
        <v>8</v>
      </c>
      <c r="U7" s="10"/>
    </row>
    <row r="8" spans="1:21" x14ac:dyDescent="0.25">
      <c r="A8" s="4" t="s">
        <v>91</v>
      </c>
      <c r="B8" s="5">
        <v>20</v>
      </c>
      <c r="C8" s="5">
        <v>20</v>
      </c>
      <c r="D8" s="5">
        <v>20</v>
      </c>
      <c r="E8" s="5">
        <v>20</v>
      </c>
      <c r="F8" s="5">
        <v>20</v>
      </c>
      <c r="G8" s="5">
        <v>20</v>
      </c>
      <c r="H8" s="5">
        <v>20</v>
      </c>
      <c r="I8" s="5">
        <v>20</v>
      </c>
      <c r="J8" s="5">
        <v>20</v>
      </c>
      <c r="K8" s="5">
        <v>20</v>
      </c>
      <c r="L8" s="5">
        <v>20</v>
      </c>
      <c r="M8" s="5">
        <v>20</v>
      </c>
      <c r="N8" s="5">
        <v>20</v>
      </c>
      <c r="O8" s="5">
        <v>20</v>
      </c>
      <c r="P8" s="5">
        <v>20</v>
      </c>
      <c r="Q8" s="5">
        <v>20</v>
      </c>
      <c r="R8" s="8">
        <v>20</v>
      </c>
      <c r="S8" s="8">
        <v>24</v>
      </c>
      <c r="T8" s="8">
        <v>24</v>
      </c>
      <c r="U8" s="10"/>
    </row>
    <row r="9" spans="1:21" x14ac:dyDescent="0.25">
      <c r="A9" s="4" t="s">
        <v>92</v>
      </c>
      <c r="B9" s="11">
        <v>50</v>
      </c>
      <c r="C9" s="11">
        <v>50</v>
      </c>
      <c r="D9" s="11">
        <v>50</v>
      </c>
      <c r="E9" s="11">
        <v>27</v>
      </c>
      <c r="F9" s="11">
        <v>35</v>
      </c>
      <c r="G9" s="11">
        <v>50</v>
      </c>
      <c r="H9" s="11">
        <v>50</v>
      </c>
      <c r="I9" s="11">
        <v>50</v>
      </c>
      <c r="J9" s="11">
        <v>50</v>
      </c>
      <c r="K9" s="11">
        <v>50</v>
      </c>
      <c r="L9" s="11">
        <v>35</v>
      </c>
      <c r="M9" s="11">
        <v>50</v>
      </c>
      <c r="N9" s="11">
        <v>50</v>
      </c>
      <c r="O9" s="11">
        <v>50</v>
      </c>
      <c r="P9" s="11">
        <v>50</v>
      </c>
      <c r="Q9" s="5">
        <v>80</v>
      </c>
      <c r="R9" s="8">
        <v>50</v>
      </c>
      <c r="S9" s="8">
        <v>60</v>
      </c>
      <c r="T9" s="8">
        <v>60</v>
      </c>
      <c r="U9" s="10"/>
    </row>
    <row r="10" spans="1:21" x14ac:dyDescent="0.25">
      <c r="A10" s="4" t="s">
        <v>93</v>
      </c>
      <c r="B10" s="5">
        <f t="shared" ref="B10:T10" si="0">SUM(B6:B8)*0.82*B2/20.5+B9</f>
        <v>912.64</v>
      </c>
      <c r="C10" s="5">
        <f t="shared" si="0"/>
        <v>912.64</v>
      </c>
      <c r="D10" s="5">
        <f t="shared" ref="D10:E10" si="1">SUM(D6:D8)*0.82*D2/20.5+D9</f>
        <v>912.64</v>
      </c>
      <c r="E10" s="5">
        <f t="shared" si="1"/>
        <v>889.64</v>
      </c>
      <c r="F10" s="12">
        <f t="shared" ref="F10:G10" si="2">SUM(F6:F8)*0.82*F2/20.5+F9</f>
        <v>683.03200000000004</v>
      </c>
      <c r="G10" s="12">
        <f t="shared" si="2"/>
        <v>639.12</v>
      </c>
      <c r="H10" s="12">
        <f t="shared" si="0"/>
        <v>639.12</v>
      </c>
      <c r="I10" s="12">
        <f t="shared" ref="I10" si="3">SUM(I6:I8)*0.82*I2/20.5+I9</f>
        <v>639.12</v>
      </c>
      <c r="J10" s="12">
        <v>712</v>
      </c>
      <c r="K10" s="12">
        <v>712</v>
      </c>
      <c r="L10" s="12">
        <v>735</v>
      </c>
      <c r="M10" s="12">
        <f>SUM(M6:M8)*0.82*M2/20.5+M9+70</f>
        <v>709.12</v>
      </c>
      <c r="N10" s="12">
        <f>SUM(N6:N8)*0.82*N2/20.5+N9+70+70</f>
        <v>779.12</v>
      </c>
      <c r="O10" s="12">
        <v>750</v>
      </c>
      <c r="P10" s="12">
        <f t="shared" ref="P10:Q10" si="4">SUM(P6:P8)*0.82*P2/20.5+P9</f>
        <v>639.12</v>
      </c>
      <c r="Q10" s="12">
        <f t="shared" si="4"/>
        <v>669.12</v>
      </c>
      <c r="R10" s="13">
        <f t="shared" si="0"/>
        <v>639.12</v>
      </c>
      <c r="S10" s="8">
        <f t="shared" si="0"/>
        <v>925.92000000000007</v>
      </c>
      <c r="T10" s="8">
        <f t="shared" si="0"/>
        <v>925.92000000000007</v>
      </c>
      <c r="U10" s="10"/>
    </row>
    <row r="11" spans="1:21" x14ac:dyDescent="0.25">
      <c r="A11" s="4" t="s">
        <v>94</v>
      </c>
      <c r="B11" s="5">
        <f t="shared" ref="B11:T11" si="5">SUM(B3:B5)*0.82*B2/20.5+B9</f>
        <v>919.19999999999993</v>
      </c>
      <c r="C11" s="5">
        <f t="shared" si="5"/>
        <v>919.19999999999993</v>
      </c>
      <c r="D11" s="5">
        <f t="shared" si="5"/>
        <v>919.19999999999993</v>
      </c>
      <c r="E11" s="5">
        <f t="shared" si="5"/>
        <v>896.19999999999993</v>
      </c>
      <c r="F11" s="5">
        <f>SUM(F3:F5)*0.82*F2/20.5+F9</f>
        <v>687.95999999999992</v>
      </c>
      <c r="G11" s="5">
        <f>SUM(G3:G5)*0.82*G2/20.5+G9</f>
        <v>643.59999999999991</v>
      </c>
      <c r="H11" s="5">
        <f>SUM(H3:H5)*0.82*14/20.5+H9</f>
        <v>643.59999999999991</v>
      </c>
      <c r="I11" s="5">
        <f t="shared" ref="I11" si="6">SUM(I3:I5)*0.82*I2/20.5+I9</f>
        <v>643.59999999999991</v>
      </c>
      <c r="J11" s="5">
        <v>712</v>
      </c>
      <c r="K11" s="5">
        <v>712</v>
      </c>
      <c r="L11" s="5">
        <v>735</v>
      </c>
      <c r="M11" s="5">
        <f>SUM(M3:M5)*0.82*M2/20.5+M9+70</f>
        <v>713.59999999999991</v>
      </c>
      <c r="N11" s="5">
        <f>SUM(N3:N5)*0.82*N2/20.5+N9+70+70</f>
        <v>783.59999999999991</v>
      </c>
      <c r="O11" s="5">
        <v>750</v>
      </c>
      <c r="P11" s="5">
        <f t="shared" ref="P11:Q11" si="7">SUM(P3:P5)*0.82*P2/20.5+P9</f>
        <v>1217.04</v>
      </c>
      <c r="Q11" s="5">
        <f t="shared" si="7"/>
        <v>1247.04</v>
      </c>
      <c r="R11" s="8">
        <f t="shared" si="5"/>
        <v>643.59999999999991</v>
      </c>
      <c r="S11" s="8">
        <f t="shared" si="5"/>
        <v>506.08</v>
      </c>
      <c r="T11" s="8">
        <f t="shared" si="5"/>
        <v>506.08</v>
      </c>
      <c r="U11" s="10"/>
    </row>
    <row r="12" spans="1:21" x14ac:dyDescent="0.25">
      <c r="A12" s="4" t="s">
        <v>95</v>
      </c>
      <c r="B12" s="5">
        <f>ROUND(B10*B11*0.05*0.05,1)</f>
        <v>2097.1999999999998</v>
      </c>
      <c r="C12" s="5">
        <f t="shared" ref="C12:T12" si="8">ROUND(C10*C11*0.05*0.05,1)</f>
        <v>2097.1999999999998</v>
      </c>
      <c r="D12" s="5">
        <f t="shared" si="8"/>
        <v>2097.1999999999998</v>
      </c>
      <c r="E12" s="5">
        <f t="shared" si="8"/>
        <v>1993.2</v>
      </c>
      <c r="F12" s="5">
        <f t="shared" si="8"/>
        <v>1174.7</v>
      </c>
      <c r="G12" s="5">
        <f t="shared" si="8"/>
        <v>1028.3</v>
      </c>
      <c r="H12" s="5">
        <f t="shared" si="8"/>
        <v>1028.3</v>
      </c>
      <c r="I12" s="5">
        <f t="shared" si="8"/>
        <v>1028.3</v>
      </c>
      <c r="J12" s="5">
        <f t="shared" si="8"/>
        <v>1267.4000000000001</v>
      </c>
      <c r="K12" s="5">
        <f t="shared" si="8"/>
        <v>1267.4000000000001</v>
      </c>
      <c r="L12" s="5">
        <f t="shared" si="8"/>
        <v>1350.6</v>
      </c>
      <c r="M12" s="5">
        <f t="shared" si="8"/>
        <v>1265.0999999999999</v>
      </c>
      <c r="N12" s="5">
        <f t="shared" si="8"/>
        <v>1526.3</v>
      </c>
      <c r="O12" s="5">
        <f t="shared" si="8"/>
        <v>1406.3</v>
      </c>
      <c r="P12" s="5">
        <f t="shared" si="8"/>
        <v>1944.6</v>
      </c>
      <c r="Q12" s="5">
        <f t="shared" si="8"/>
        <v>2086</v>
      </c>
      <c r="R12" s="8">
        <f t="shared" si="8"/>
        <v>1028.3</v>
      </c>
      <c r="S12" s="8">
        <f t="shared" si="8"/>
        <v>1171.5</v>
      </c>
      <c r="T12" s="8">
        <f t="shared" si="8"/>
        <v>1171.5</v>
      </c>
      <c r="U12" s="10"/>
    </row>
    <row r="13" spans="1:21" x14ac:dyDescent="0.25">
      <c r="A13" s="4" t="s">
        <v>96</v>
      </c>
      <c r="B13" s="5">
        <v>32</v>
      </c>
      <c r="C13" s="5">
        <v>32</v>
      </c>
      <c r="D13" s="5">
        <v>32</v>
      </c>
      <c r="E13" s="5">
        <v>32</v>
      </c>
      <c r="F13" s="5">
        <v>64</v>
      </c>
      <c r="G13" s="5">
        <v>64</v>
      </c>
      <c r="H13" s="5">
        <v>64</v>
      </c>
      <c r="I13" s="5">
        <v>32</v>
      </c>
      <c r="J13" s="5">
        <v>32</v>
      </c>
      <c r="K13" s="5">
        <v>32</v>
      </c>
      <c r="L13" s="5">
        <v>32</v>
      </c>
      <c r="M13" s="5">
        <v>64</v>
      </c>
      <c r="N13" s="5">
        <v>32</v>
      </c>
      <c r="O13" s="5">
        <v>32</v>
      </c>
      <c r="P13" s="5">
        <v>64</v>
      </c>
      <c r="Q13" s="5">
        <v>64</v>
      </c>
      <c r="R13" s="8">
        <v>32</v>
      </c>
      <c r="S13" s="8">
        <v>64</v>
      </c>
      <c r="T13" s="8">
        <v>64</v>
      </c>
      <c r="U13" s="9"/>
    </row>
    <row r="14" spans="1:21" x14ac:dyDescent="0.25">
      <c r="A14" s="4" t="s">
        <v>97</v>
      </c>
      <c r="B14" s="5">
        <v>64</v>
      </c>
      <c r="C14" s="5">
        <v>64</v>
      </c>
      <c r="D14" s="5">
        <v>64</v>
      </c>
      <c r="E14" s="5">
        <v>64</v>
      </c>
      <c r="F14" s="5">
        <v>64</v>
      </c>
      <c r="G14" s="5">
        <v>64</v>
      </c>
      <c r="H14" s="5">
        <v>64</v>
      </c>
      <c r="I14" s="5">
        <v>64</v>
      </c>
      <c r="J14" s="5">
        <v>64</v>
      </c>
      <c r="K14" s="5">
        <v>64</v>
      </c>
      <c r="L14" s="5">
        <v>64</v>
      </c>
      <c r="M14" s="5">
        <v>64</v>
      </c>
      <c r="N14" s="5">
        <v>64</v>
      </c>
      <c r="O14" s="5">
        <v>64</v>
      </c>
      <c r="P14" s="5">
        <v>32</v>
      </c>
      <c r="Q14" s="5">
        <v>32</v>
      </c>
      <c r="R14" s="8">
        <v>64</v>
      </c>
      <c r="S14" s="8">
        <v>64</v>
      </c>
      <c r="T14" s="8">
        <v>64</v>
      </c>
      <c r="U14" s="9"/>
    </row>
    <row r="15" spans="1:21" x14ac:dyDescent="0.25">
      <c r="A15" s="4" t="s">
        <v>98</v>
      </c>
      <c r="B15" s="5">
        <v>6</v>
      </c>
      <c r="C15" s="5">
        <v>6</v>
      </c>
      <c r="D15" s="5">
        <v>6</v>
      </c>
      <c r="E15" s="5">
        <v>6</v>
      </c>
      <c r="F15" s="5">
        <v>6</v>
      </c>
      <c r="G15" s="5">
        <v>6</v>
      </c>
      <c r="H15" s="5">
        <v>6</v>
      </c>
      <c r="I15" s="5">
        <v>6</v>
      </c>
      <c r="J15" s="5">
        <v>6</v>
      </c>
      <c r="K15" s="5">
        <v>6</v>
      </c>
      <c r="L15" s="5">
        <v>6</v>
      </c>
      <c r="M15" s="5">
        <v>6</v>
      </c>
      <c r="N15" s="5">
        <v>6</v>
      </c>
      <c r="O15" s="5">
        <v>6</v>
      </c>
      <c r="P15" s="5">
        <v>6</v>
      </c>
      <c r="Q15" s="5">
        <v>4</v>
      </c>
      <c r="R15" s="8">
        <v>5.6</v>
      </c>
      <c r="S15" s="8">
        <v>8</v>
      </c>
      <c r="T15" s="8">
        <v>8</v>
      </c>
      <c r="U15" s="10"/>
    </row>
    <row r="16" spans="1:21" x14ac:dyDescent="0.25">
      <c r="A16" s="4" t="s">
        <v>99</v>
      </c>
      <c r="B16" s="5">
        <v>4</v>
      </c>
      <c r="C16" s="5">
        <v>4</v>
      </c>
      <c r="D16" s="5">
        <v>4</v>
      </c>
      <c r="E16" s="5">
        <v>2.5</v>
      </c>
      <c r="F16" s="5">
        <v>4</v>
      </c>
      <c r="G16" s="5">
        <v>4</v>
      </c>
      <c r="H16" s="5">
        <v>4</v>
      </c>
      <c r="I16" s="5">
        <v>4</v>
      </c>
      <c r="J16" s="5">
        <v>4</v>
      </c>
      <c r="K16" s="5">
        <v>4</v>
      </c>
      <c r="L16" s="5">
        <v>4</v>
      </c>
      <c r="M16" s="5">
        <v>4</v>
      </c>
      <c r="N16" s="5">
        <v>4</v>
      </c>
      <c r="O16" s="5">
        <v>4</v>
      </c>
      <c r="P16" s="5">
        <v>4</v>
      </c>
      <c r="Q16" s="5">
        <v>3</v>
      </c>
      <c r="R16" s="8">
        <v>4</v>
      </c>
      <c r="S16" s="8">
        <v>4</v>
      </c>
      <c r="T16" s="8">
        <v>4</v>
      </c>
      <c r="U16" s="10"/>
    </row>
    <row r="17" spans="1:21" x14ac:dyDescent="0.25">
      <c r="A17" s="4" t="s">
        <v>100</v>
      </c>
      <c r="B17" s="5">
        <f t="shared" ref="B17:T17" si="9">43200000/400</f>
        <v>108000</v>
      </c>
      <c r="C17" s="5">
        <f t="shared" si="9"/>
        <v>108000</v>
      </c>
      <c r="D17" s="5">
        <f t="shared" si="9"/>
        <v>108000</v>
      </c>
      <c r="E17" s="5">
        <f t="shared" si="9"/>
        <v>108000</v>
      </c>
      <c r="F17" s="5">
        <f t="shared" si="9"/>
        <v>108000</v>
      </c>
      <c r="G17" s="5">
        <f t="shared" si="9"/>
        <v>108000</v>
      </c>
      <c r="H17" s="5">
        <f t="shared" si="9"/>
        <v>108000</v>
      </c>
      <c r="I17" s="5">
        <f t="shared" si="9"/>
        <v>108000</v>
      </c>
      <c r="J17" s="5">
        <f t="shared" si="9"/>
        <v>108000</v>
      </c>
      <c r="K17" s="5">
        <f t="shared" si="9"/>
        <v>108000</v>
      </c>
      <c r="L17" s="5">
        <f t="shared" si="9"/>
        <v>108000</v>
      </c>
      <c r="M17" s="5">
        <f t="shared" si="9"/>
        <v>108000</v>
      </c>
      <c r="N17" s="5">
        <f t="shared" si="9"/>
        <v>108000</v>
      </c>
      <c r="O17" s="5">
        <f t="shared" si="9"/>
        <v>108000</v>
      </c>
      <c r="P17" s="5">
        <f t="shared" si="9"/>
        <v>108000</v>
      </c>
      <c r="Q17" s="5">
        <f t="shared" si="9"/>
        <v>108000</v>
      </c>
      <c r="R17" s="8">
        <f t="shared" si="9"/>
        <v>108000</v>
      </c>
      <c r="S17" s="8">
        <f t="shared" si="9"/>
        <v>108000</v>
      </c>
      <c r="T17" s="8">
        <f t="shared" si="9"/>
        <v>108000</v>
      </c>
      <c r="U17" s="10"/>
    </row>
    <row r="18" spans="1:21" x14ac:dyDescent="0.25">
      <c r="A18" s="4" t="s">
        <v>101</v>
      </c>
      <c r="B18" s="5">
        <f>ROUND((B12*(B13+B15)*(B14+B16)+B17)/1000000,3)</f>
        <v>5.5270000000000001</v>
      </c>
      <c r="C18" s="5">
        <f t="shared" ref="C18:T18" si="10">ROUND((C12*(C13+C15)*(C14+C16)+C17)/1000000,3)</f>
        <v>5.5270000000000001</v>
      </c>
      <c r="D18" s="5">
        <f t="shared" si="10"/>
        <v>5.5270000000000001</v>
      </c>
      <c r="E18" s="5">
        <f t="shared" si="10"/>
        <v>5.1449999999999996</v>
      </c>
      <c r="F18" s="5">
        <f t="shared" si="10"/>
        <v>5.7</v>
      </c>
      <c r="G18" s="5">
        <f t="shared" si="10"/>
        <v>5.0030000000000001</v>
      </c>
      <c r="H18" s="5">
        <f t="shared" si="10"/>
        <v>5.0030000000000001</v>
      </c>
      <c r="I18" s="5">
        <f t="shared" si="10"/>
        <v>2.7650000000000001</v>
      </c>
      <c r="J18" s="5">
        <f t="shared" si="10"/>
        <v>3.383</v>
      </c>
      <c r="K18" s="5">
        <f t="shared" si="10"/>
        <v>3.383</v>
      </c>
      <c r="L18" s="5">
        <f t="shared" si="10"/>
        <v>3.5979999999999999</v>
      </c>
      <c r="M18" s="5">
        <f t="shared" si="10"/>
        <v>6.13</v>
      </c>
      <c r="N18" s="5">
        <f t="shared" si="10"/>
        <v>4.0519999999999996</v>
      </c>
      <c r="O18" s="5">
        <f t="shared" si="10"/>
        <v>3.742</v>
      </c>
      <c r="P18" s="5">
        <f t="shared" si="10"/>
        <v>5.008</v>
      </c>
      <c r="Q18" s="5">
        <f t="shared" si="10"/>
        <v>5.0730000000000004</v>
      </c>
      <c r="R18" s="8">
        <f t="shared" si="10"/>
        <v>2.7370000000000001</v>
      </c>
      <c r="S18" s="8">
        <f t="shared" si="10"/>
        <v>5.8440000000000003</v>
      </c>
      <c r="T18" s="8">
        <f t="shared" si="10"/>
        <v>5.8440000000000003</v>
      </c>
      <c r="U18" s="10"/>
    </row>
    <row r="19" spans="1:21" x14ac:dyDescent="0.25">
      <c r="A19" s="4" t="s">
        <v>102</v>
      </c>
      <c r="B19" s="5">
        <v>32</v>
      </c>
      <c r="C19" s="5">
        <v>16</v>
      </c>
      <c r="D19" s="5">
        <v>16</v>
      </c>
      <c r="E19" s="5">
        <v>16</v>
      </c>
      <c r="F19" s="5">
        <v>32</v>
      </c>
      <c r="G19" s="5">
        <v>32</v>
      </c>
      <c r="H19" s="5">
        <v>16</v>
      </c>
      <c r="I19" s="5">
        <v>32</v>
      </c>
      <c r="J19" s="5">
        <v>32</v>
      </c>
      <c r="K19" s="5">
        <v>16</v>
      </c>
      <c r="L19" s="5">
        <v>32</v>
      </c>
      <c r="M19" s="5">
        <v>32</v>
      </c>
      <c r="N19" s="5">
        <v>32</v>
      </c>
      <c r="O19" s="5">
        <v>32</v>
      </c>
      <c r="P19" s="5">
        <v>16</v>
      </c>
      <c r="Q19" s="5">
        <v>32</v>
      </c>
      <c r="R19" s="8">
        <v>64</v>
      </c>
      <c r="S19" s="8">
        <v>32</v>
      </c>
      <c r="T19" s="8">
        <v>16</v>
      </c>
      <c r="U19" s="9"/>
    </row>
    <row r="20" spans="1:21" x14ac:dyDescent="0.25">
      <c r="A20" s="4" t="s">
        <v>109</v>
      </c>
      <c r="B20" s="5">
        <f>ROUND(B17/1000000*B19,1)</f>
        <v>3.5</v>
      </c>
      <c r="C20" s="5">
        <f t="shared" ref="C20:S20" si="11">ROUND(C17/1000000*C19,1)</f>
        <v>1.7</v>
      </c>
      <c r="D20" s="5">
        <f t="shared" si="11"/>
        <v>1.7</v>
      </c>
      <c r="E20" s="5">
        <f t="shared" si="11"/>
        <v>1.7</v>
      </c>
      <c r="F20" s="5">
        <f t="shared" si="11"/>
        <v>3.5</v>
      </c>
      <c r="G20" s="5">
        <f t="shared" si="11"/>
        <v>3.5</v>
      </c>
      <c r="H20" s="5">
        <f t="shared" si="11"/>
        <v>1.7</v>
      </c>
      <c r="I20" s="5">
        <f t="shared" si="11"/>
        <v>3.5</v>
      </c>
      <c r="J20" s="5">
        <f t="shared" si="11"/>
        <v>3.5</v>
      </c>
      <c r="K20" s="5">
        <f t="shared" si="11"/>
        <v>1.7</v>
      </c>
      <c r="L20" s="5">
        <f t="shared" si="11"/>
        <v>3.5</v>
      </c>
      <c r="M20" s="5">
        <f t="shared" si="11"/>
        <v>3.5</v>
      </c>
      <c r="N20" s="5">
        <f t="shared" si="11"/>
        <v>3.5</v>
      </c>
      <c r="O20" s="5">
        <f t="shared" si="11"/>
        <v>3.5</v>
      </c>
      <c r="P20" s="5">
        <f t="shared" si="11"/>
        <v>1.7</v>
      </c>
      <c r="Q20" s="5">
        <f t="shared" si="11"/>
        <v>3.5</v>
      </c>
      <c r="R20" s="5">
        <f t="shared" si="11"/>
        <v>6.9</v>
      </c>
      <c r="S20" s="5">
        <f t="shared" si="11"/>
        <v>3.5</v>
      </c>
      <c r="T20" s="8"/>
      <c r="U20" s="9"/>
    </row>
    <row r="21" spans="1:21" x14ac:dyDescent="0.25">
      <c r="A21" s="4" t="s">
        <v>110</v>
      </c>
      <c r="B21" s="5">
        <f>ROUND((B12*((B13)*(B16)+(B14)*(B15)))/1000000*B19,1)</f>
        <v>34.4</v>
      </c>
      <c r="C21" s="5">
        <f t="shared" ref="C21:S21" si="12">ROUND((C12*((C13)*(C16)+(C14)*(C15)))/1000000*C19,1)</f>
        <v>17.2</v>
      </c>
      <c r="D21" s="5">
        <f t="shared" si="12"/>
        <v>17.2</v>
      </c>
      <c r="E21" s="5">
        <f t="shared" si="12"/>
        <v>14.8</v>
      </c>
      <c r="F21" s="5">
        <f t="shared" si="12"/>
        <v>24.1</v>
      </c>
      <c r="G21" s="5">
        <f t="shared" si="12"/>
        <v>21.1</v>
      </c>
      <c r="H21" s="5">
        <f t="shared" si="12"/>
        <v>10.5</v>
      </c>
      <c r="I21" s="5">
        <f t="shared" si="12"/>
        <v>16.8</v>
      </c>
      <c r="J21" s="5">
        <f t="shared" si="12"/>
        <v>20.8</v>
      </c>
      <c r="K21" s="5">
        <f t="shared" si="12"/>
        <v>10.4</v>
      </c>
      <c r="L21" s="5">
        <f t="shared" si="12"/>
        <v>22.1</v>
      </c>
      <c r="M21" s="5">
        <f t="shared" si="12"/>
        <v>25.9</v>
      </c>
      <c r="N21" s="5">
        <f t="shared" si="12"/>
        <v>25</v>
      </c>
      <c r="O21" s="5">
        <f t="shared" si="12"/>
        <v>23</v>
      </c>
      <c r="P21" s="5">
        <f t="shared" si="12"/>
        <v>13.9</v>
      </c>
      <c r="Q21" s="5">
        <f t="shared" si="12"/>
        <v>21.4</v>
      </c>
      <c r="R21" s="5">
        <f t="shared" si="12"/>
        <v>32</v>
      </c>
      <c r="S21" s="5">
        <f t="shared" si="12"/>
        <v>28.8</v>
      </c>
      <c r="T21" s="8"/>
      <c r="U21" s="9"/>
    </row>
    <row r="22" spans="1:21" x14ac:dyDescent="0.25">
      <c r="A22" s="4" t="s">
        <v>111</v>
      </c>
      <c r="B22" s="5">
        <f>ROUND(B2^2*4*64*2^30/10^12,1)</f>
        <v>115.5</v>
      </c>
      <c r="C22" s="5">
        <f>ROUND(C2^2*4*32*2^30/10^12,1)</f>
        <v>57.8</v>
      </c>
      <c r="D22" s="5">
        <f>ROUND(D2^2*4*32*2^30/10^12,1)</f>
        <v>57.8</v>
      </c>
      <c r="E22" s="5">
        <f>ROUND(E2^2*4*32*2^30/10^12,1)</f>
        <v>57.8</v>
      </c>
      <c r="F22" s="5">
        <f>ROUND(F2^2*4*128*2^30/10^12,1)</f>
        <v>130.4</v>
      </c>
      <c r="G22" s="5">
        <f>ROUND(G2^2*4*128*2^30/10^12,1)</f>
        <v>107.8</v>
      </c>
      <c r="H22" s="5">
        <f>ROUND(H2^2*4*64*2^30/10^12,1)</f>
        <v>53.9</v>
      </c>
      <c r="I22" s="5">
        <f>ROUND(I2^2*4*64*2^30/10^12,1)</f>
        <v>53.9</v>
      </c>
      <c r="J22" s="5">
        <f>ROUND(J2^2*4*64*2^30/10^12,1)</f>
        <v>53.9</v>
      </c>
      <c r="K22" s="5">
        <f>ROUND(K2^2*4*64*2^30/10^12,1)</f>
        <v>53.9</v>
      </c>
      <c r="L22" s="5">
        <f>ROUND(L2^2*4*64*2^30/10^12,1)</f>
        <v>65.2</v>
      </c>
      <c r="M22" s="5">
        <f>ROUND(M2^2*4*128*2^30/10^12,1)</f>
        <v>107.8</v>
      </c>
      <c r="N22" s="5">
        <f>ROUND(N2^2*4*128*2^30/10^12,1)</f>
        <v>107.8</v>
      </c>
      <c r="O22" s="5">
        <f>ROUND(O2^2*4*128*2^30/10^12,1)</f>
        <v>107.8</v>
      </c>
      <c r="P22" s="5">
        <f>ROUND(P2^2*4*64*2^30/10^12,1)</f>
        <v>53.9</v>
      </c>
      <c r="Q22" s="5">
        <f>ROUND(Q2^2*4*64*2^30/10^12,1)</f>
        <v>53.9</v>
      </c>
      <c r="R22" s="5">
        <f>ROUND(R2^2*4*128*2^30/10^12,1)</f>
        <v>107.8</v>
      </c>
      <c r="S22" s="5">
        <f>ROUND(S2^2*4*64*2^30/10^12,1)</f>
        <v>115.5</v>
      </c>
      <c r="T22" s="8"/>
      <c r="U22" s="9"/>
    </row>
    <row r="23" spans="1:21" x14ac:dyDescent="0.25">
      <c r="A23" s="26" t="s">
        <v>112</v>
      </c>
      <c r="B23" s="5">
        <f>ROUND((B12*(B13)*(B14))/1000000*B19,1)</f>
        <v>137.4</v>
      </c>
      <c r="C23" s="5">
        <f t="shared" ref="C23:S23" si="13">ROUND((C12*(C13)*(C14))/1000000*C19,1)</f>
        <v>68.7</v>
      </c>
      <c r="D23" s="5">
        <f t="shared" si="13"/>
        <v>68.7</v>
      </c>
      <c r="E23" s="5">
        <f t="shared" si="13"/>
        <v>65.3</v>
      </c>
      <c r="F23" s="5">
        <f t="shared" si="13"/>
        <v>154</v>
      </c>
      <c r="G23" s="5">
        <f t="shared" si="13"/>
        <v>134.80000000000001</v>
      </c>
      <c r="H23" s="5">
        <f t="shared" si="13"/>
        <v>67.400000000000006</v>
      </c>
      <c r="I23" s="5">
        <f t="shared" si="13"/>
        <v>67.400000000000006</v>
      </c>
      <c r="J23" s="5">
        <f t="shared" si="13"/>
        <v>83.1</v>
      </c>
      <c r="K23" s="5">
        <f t="shared" si="13"/>
        <v>41.5</v>
      </c>
      <c r="L23" s="5">
        <f t="shared" si="13"/>
        <v>88.5</v>
      </c>
      <c r="M23" s="5">
        <f t="shared" si="13"/>
        <v>165.8</v>
      </c>
      <c r="N23" s="5">
        <f t="shared" si="13"/>
        <v>100</v>
      </c>
      <c r="O23" s="5">
        <f t="shared" si="13"/>
        <v>92.2</v>
      </c>
      <c r="P23" s="5">
        <f t="shared" si="13"/>
        <v>63.7</v>
      </c>
      <c r="Q23" s="5">
        <f t="shared" si="13"/>
        <v>136.69999999999999</v>
      </c>
      <c r="R23" s="5">
        <f t="shared" si="13"/>
        <v>134.80000000000001</v>
      </c>
      <c r="S23" s="5">
        <f t="shared" si="13"/>
        <v>153.6</v>
      </c>
      <c r="T23" s="8"/>
      <c r="U23" s="9"/>
    </row>
    <row r="24" spans="1:21" x14ac:dyDescent="0.25">
      <c r="A24" s="4" t="s">
        <v>113</v>
      </c>
      <c r="B24" s="5">
        <f>ROUND(B18*B19,1)</f>
        <v>176.9</v>
      </c>
      <c r="C24" s="5">
        <f>ROUND(C18*C19,1)</f>
        <v>88.4</v>
      </c>
      <c r="D24" s="5">
        <f t="shared" ref="D24:E24" si="14">ROUND(D18*D19,1)</f>
        <v>88.4</v>
      </c>
      <c r="E24" s="5">
        <f t="shared" si="14"/>
        <v>82.3</v>
      </c>
      <c r="F24" s="5">
        <f>ROUND(F18*F19,1)</f>
        <v>182.4</v>
      </c>
      <c r="G24" s="5">
        <f>ROUND(G18*G19,1)</f>
        <v>160.1</v>
      </c>
      <c r="H24" s="5">
        <f>ROUND(H18*H19,1)</f>
        <v>80</v>
      </c>
      <c r="I24" s="5">
        <f t="shared" ref="I24:Q24" si="15">ROUND(I18*I19,1)</f>
        <v>88.5</v>
      </c>
      <c r="J24" s="5">
        <f t="shared" si="15"/>
        <v>108.3</v>
      </c>
      <c r="K24" s="5">
        <f t="shared" si="15"/>
        <v>54.1</v>
      </c>
      <c r="L24" s="5">
        <f t="shared" si="15"/>
        <v>115.1</v>
      </c>
      <c r="M24" s="5">
        <f t="shared" si="15"/>
        <v>196.2</v>
      </c>
      <c r="N24" s="5">
        <f t="shared" si="15"/>
        <v>129.69999999999999</v>
      </c>
      <c r="O24" s="5">
        <f t="shared" si="15"/>
        <v>119.7</v>
      </c>
      <c r="P24" s="5">
        <f t="shared" si="15"/>
        <v>80.099999999999994</v>
      </c>
      <c r="Q24" s="5">
        <f t="shared" si="15"/>
        <v>162.30000000000001</v>
      </c>
      <c r="R24" s="8">
        <f>ROUND(R18*R19,1)</f>
        <v>175.2</v>
      </c>
      <c r="S24" s="8">
        <f>ROUND(S18*S19,1)</f>
        <v>187</v>
      </c>
      <c r="T24" s="8">
        <f>ROUND(T18*T19,1)</f>
        <v>93.5</v>
      </c>
      <c r="U24" s="10"/>
    </row>
    <row r="25" spans="1:21" x14ac:dyDescent="0.25">
      <c r="A25" s="4" t="s">
        <v>114</v>
      </c>
      <c r="B25" s="5">
        <v>11.25</v>
      </c>
      <c r="C25" s="5">
        <v>11.25</v>
      </c>
      <c r="D25" s="5">
        <v>11.25</v>
      </c>
      <c r="E25" s="5">
        <v>11.25</v>
      </c>
      <c r="F25" s="5">
        <v>11.25</v>
      </c>
      <c r="G25" s="5">
        <v>11.25</v>
      </c>
      <c r="H25" s="5">
        <v>11.25</v>
      </c>
      <c r="I25" s="5">
        <v>11.25</v>
      </c>
      <c r="J25" s="5">
        <v>11.25</v>
      </c>
      <c r="K25" s="5">
        <v>11.25</v>
      </c>
      <c r="L25" s="5">
        <v>11.25</v>
      </c>
      <c r="M25" s="5">
        <v>11.25</v>
      </c>
      <c r="N25" s="5">
        <v>11.25</v>
      </c>
      <c r="O25" s="5">
        <v>11.25</v>
      </c>
      <c r="P25" s="5">
        <v>11.25</v>
      </c>
      <c r="Q25" s="5">
        <v>11.25</v>
      </c>
      <c r="R25" s="5">
        <v>11.25</v>
      </c>
      <c r="S25" s="5">
        <v>11.25</v>
      </c>
      <c r="T25" s="5">
        <v>11.25</v>
      </c>
      <c r="U25" s="10"/>
    </row>
    <row r="26" spans="1:21" x14ac:dyDescent="0.25">
      <c r="A26" s="4" t="s">
        <v>115</v>
      </c>
      <c r="B26" s="5">
        <v>3.52</v>
      </c>
      <c r="C26" s="5">
        <v>3.52</v>
      </c>
      <c r="D26" s="5">
        <v>3.52</v>
      </c>
      <c r="E26" s="5">
        <v>3.52</v>
      </c>
      <c r="F26" s="5">
        <v>3.52</v>
      </c>
      <c r="G26" s="5">
        <v>3.52</v>
      </c>
      <c r="H26" s="5">
        <v>3.52</v>
      </c>
      <c r="I26" s="5">
        <v>3.52</v>
      </c>
      <c r="J26" s="5">
        <v>3.52</v>
      </c>
      <c r="K26" s="5">
        <v>3.52</v>
      </c>
      <c r="L26" s="5">
        <v>3.52</v>
      </c>
      <c r="M26" s="5">
        <v>3.52</v>
      </c>
      <c r="N26" s="5">
        <v>3.52</v>
      </c>
      <c r="O26" s="5">
        <v>3.52</v>
      </c>
      <c r="P26" s="5">
        <v>3.52</v>
      </c>
      <c r="Q26" s="5">
        <v>3.52</v>
      </c>
      <c r="R26" s="5">
        <v>3.52</v>
      </c>
      <c r="S26" s="5">
        <v>3.52</v>
      </c>
      <c r="T26" s="5">
        <v>3.52</v>
      </c>
      <c r="U26" s="10"/>
    </row>
    <row r="27" spans="1:21" x14ac:dyDescent="0.25">
      <c r="A27" s="4" t="s">
        <v>116</v>
      </c>
      <c r="B27" s="5">
        <v>3</v>
      </c>
      <c r="C27" s="5">
        <v>3</v>
      </c>
      <c r="D27" s="5">
        <v>3</v>
      </c>
      <c r="E27" s="5">
        <v>3</v>
      </c>
      <c r="F27" s="5">
        <v>3</v>
      </c>
      <c r="G27" s="5">
        <v>3</v>
      </c>
      <c r="H27" s="5">
        <v>3</v>
      </c>
      <c r="I27" s="5">
        <v>3</v>
      </c>
      <c r="J27" s="5">
        <v>3</v>
      </c>
      <c r="K27" s="5">
        <v>3</v>
      </c>
      <c r="L27" s="5">
        <v>3</v>
      </c>
      <c r="M27" s="5">
        <v>3</v>
      </c>
      <c r="N27" s="5">
        <v>3</v>
      </c>
      <c r="O27" s="5">
        <v>3</v>
      </c>
      <c r="P27" s="5">
        <v>3</v>
      </c>
      <c r="Q27" s="5">
        <v>3</v>
      </c>
      <c r="R27" s="8">
        <v>2.56</v>
      </c>
      <c r="S27" s="8">
        <v>2.56</v>
      </c>
      <c r="T27" s="8">
        <v>2.56</v>
      </c>
      <c r="U27" s="10"/>
    </row>
    <row r="28" spans="1:21" ht="210" x14ac:dyDescent="0.25">
      <c r="A28" s="17" t="s">
        <v>117</v>
      </c>
      <c r="B28" s="27">
        <f>ROUND((B24+B25+B26+B27),0)</f>
        <v>195</v>
      </c>
      <c r="C28" s="27">
        <f t="shared" ref="C28:L28" si="16">ROUND((C24+C25+C26+C27),0)</f>
        <v>106</v>
      </c>
      <c r="D28" s="27">
        <f t="shared" si="16"/>
        <v>106</v>
      </c>
      <c r="E28" s="27">
        <f t="shared" si="16"/>
        <v>100</v>
      </c>
      <c r="F28" s="27">
        <f t="shared" si="16"/>
        <v>200</v>
      </c>
      <c r="G28" s="27">
        <f t="shared" si="16"/>
        <v>178</v>
      </c>
      <c r="H28" s="27">
        <f t="shared" si="16"/>
        <v>98</v>
      </c>
      <c r="I28" s="27">
        <f t="shared" si="16"/>
        <v>106</v>
      </c>
      <c r="J28" s="27">
        <f t="shared" si="16"/>
        <v>126</v>
      </c>
      <c r="K28" s="27">
        <f t="shared" si="16"/>
        <v>72</v>
      </c>
      <c r="L28" s="27">
        <f t="shared" si="16"/>
        <v>133</v>
      </c>
      <c r="M28" s="27">
        <f>ROUND((M24+M25+M26+M27),0)</f>
        <v>214</v>
      </c>
      <c r="N28" s="27">
        <f t="shared" ref="N28:T28" si="17">ROUND((N24+N25+N26+N27),0)</f>
        <v>147</v>
      </c>
      <c r="O28" s="27">
        <f t="shared" si="17"/>
        <v>137</v>
      </c>
      <c r="P28" s="27">
        <f t="shared" si="17"/>
        <v>98</v>
      </c>
      <c r="Q28" s="27">
        <f t="shared" si="17"/>
        <v>180</v>
      </c>
      <c r="R28" s="18">
        <f t="shared" si="17"/>
        <v>193</v>
      </c>
      <c r="S28" s="18">
        <f t="shared" si="17"/>
        <v>204</v>
      </c>
      <c r="T28" s="18">
        <f t="shared" si="17"/>
        <v>111</v>
      </c>
      <c r="U28" s="19" t="s">
        <v>103</v>
      </c>
    </row>
    <row r="29" spans="1:21" x14ac:dyDescent="0.25">
      <c r="A29" s="14" t="s">
        <v>104</v>
      </c>
      <c r="B29" s="16"/>
      <c r="C29" s="16"/>
      <c r="D29" s="16"/>
      <c r="E29" s="5"/>
      <c r="F29" s="5">
        <v>0.85</v>
      </c>
      <c r="G29" s="16">
        <v>0.85</v>
      </c>
      <c r="H29" s="16">
        <v>0.85</v>
      </c>
      <c r="I29" s="5"/>
      <c r="J29" s="5">
        <v>0.85</v>
      </c>
      <c r="K29" s="5">
        <v>0.85</v>
      </c>
      <c r="L29" s="5">
        <v>0.85</v>
      </c>
      <c r="M29" s="5"/>
      <c r="N29" s="5"/>
      <c r="O29" s="5">
        <v>0.95</v>
      </c>
      <c r="P29" s="5"/>
      <c r="Q29" s="5"/>
      <c r="R29" s="15"/>
      <c r="S29" s="15"/>
      <c r="T29" s="15"/>
      <c r="U29" s="20"/>
    </row>
    <row r="30" spans="1:21" x14ac:dyDescent="0.25">
      <c r="A30" s="21" t="s">
        <v>105</v>
      </c>
      <c r="B30" s="22"/>
      <c r="C30" s="22"/>
      <c r="D30" s="22"/>
      <c r="E30" s="22"/>
      <c r="F30" s="22">
        <f>F$10*F$11-F$29*(533*640)*F$2/14</f>
        <v>150951.49471999996</v>
      </c>
      <c r="G30" s="22">
        <f t="shared" ref="G30:O30" si="18">G$10*G$11-G$29*(533*640)*G$2/14</f>
        <v>121385.63199999993</v>
      </c>
      <c r="H30" s="22">
        <f t="shared" si="18"/>
        <v>121385.63199999993</v>
      </c>
      <c r="I30" s="22">
        <f t="shared" si="18"/>
        <v>411337.63199999993</v>
      </c>
      <c r="J30" s="22">
        <f t="shared" si="18"/>
        <v>216992</v>
      </c>
      <c r="K30" s="22">
        <f t="shared" si="18"/>
        <v>216992</v>
      </c>
      <c r="L30" s="22">
        <f t="shared" si="18"/>
        <v>221277.8</v>
      </c>
      <c r="M30" s="22">
        <f t="shared" si="18"/>
        <v>506028.03199999995</v>
      </c>
      <c r="N30" s="22">
        <f t="shared" si="18"/>
        <v>610518.43199999991</v>
      </c>
      <c r="O30" s="22">
        <f t="shared" si="18"/>
        <v>238436</v>
      </c>
      <c r="P30" s="22"/>
      <c r="Q30" s="22"/>
      <c r="R30" s="23"/>
      <c r="S30" s="23"/>
      <c r="T30" s="23"/>
      <c r="U30" s="24"/>
    </row>
    <row r="31" spans="1:21" x14ac:dyDescent="0.25">
      <c r="A31" s="21" t="s">
        <v>106</v>
      </c>
      <c r="B31" s="22">
        <f>SUM(B6:B8)*SUM(B3:B5)*B2*B2*B13*B14*B19/1000000</f>
        <v>30712081.940480001</v>
      </c>
      <c r="C31" s="22"/>
      <c r="D31" s="22"/>
      <c r="E31" s="22"/>
      <c r="F31" s="22"/>
      <c r="G31" s="25"/>
      <c r="H31" s="22"/>
      <c r="I31" s="22"/>
      <c r="J31" s="22"/>
      <c r="K31" s="25"/>
      <c r="L31" s="25"/>
      <c r="M31" s="22"/>
      <c r="N31" s="22"/>
      <c r="O31" s="22"/>
      <c r="P31" s="22"/>
      <c r="Q31" s="22"/>
      <c r="R31" s="23"/>
      <c r="S31" s="23"/>
      <c r="T31" s="23"/>
      <c r="U31" s="24"/>
    </row>
    <row r="32" spans="1:21" x14ac:dyDescent="0.25">
      <c r="A32" t="s">
        <v>107</v>
      </c>
      <c r="E32">
        <f t="shared" ref="E32:H32" si="19">200*640*F$29</f>
        <v>108800</v>
      </c>
      <c r="F32">
        <f t="shared" si="19"/>
        <v>108800</v>
      </c>
      <c r="G32">
        <f t="shared" si="19"/>
        <v>108800</v>
      </c>
      <c r="H32">
        <f t="shared" si="19"/>
        <v>0</v>
      </c>
      <c r="I32">
        <f>2*200*640*J$29</f>
        <v>217600</v>
      </c>
      <c r="J32">
        <f t="shared" ref="J32:N32" si="20">2*200*640*K$29</f>
        <v>217600</v>
      </c>
      <c r="K32">
        <f t="shared" si="20"/>
        <v>217600</v>
      </c>
      <c r="L32">
        <f t="shared" si="20"/>
        <v>0</v>
      </c>
      <c r="M32">
        <f t="shared" si="20"/>
        <v>0</v>
      </c>
      <c r="N32">
        <f t="shared" si="20"/>
        <v>243200</v>
      </c>
    </row>
    <row r="33" spans="1:14" x14ac:dyDescent="0.25">
      <c r="A33" t="s">
        <v>108</v>
      </c>
      <c r="B33">
        <f>ROUND(B$10*B$11*((B$15+B$13-1.5)*(B$14+B$16-1.5)-B$13*B$14)/400*B19/1000000,1)</f>
        <v>25.5</v>
      </c>
      <c r="C33">
        <f t="shared" ref="C33" si="21">ROUND(C$10*C$11*((C$15+C$13-1.5)*(C$14+C$16-1.5)-C$13*C$14)/400*C19/1000000,1)</f>
        <v>12.7</v>
      </c>
      <c r="D33">
        <f t="shared" ref="D33:N33" si="22">ROUND(E$10*E$11*((E$15+E$13-1.5)*(E$14+E$16-1.5)-E$13*E$14)/400*E19/1000000,1)</f>
        <v>10.3</v>
      </c>
      <c r="E33">
        <f t="shared" si="22"/>
        <v>17.3</v>
      </c>
      <c r="F33">
        <f t="shared" si="22"/>
        <v>15.1</v>
      </c>
      <c r="G33">
        <f>ROUND(G$10*G$11*((G$15+G$13-1.5)*(G$14+G$16-1.5)-G$13*G$14)/400*G19/1000000,1)</f>
        <v>15.1</v>
      </c>
      <c r="H33">
        <f t="shared" si="22"/>
        <v>12.5</v>
      </c>
      <c r="I33">
        <f t="shared" si="22"/>
        <v>15.4</v>
      </c>
      <c r="J33">
        <f>ROUND(J$10*J$11*((J$15+J$13-1.5)*(J$14+J$16-1.5)-J$13*J$14)/400*J19/1000000,1)</f>
        <v>15.4</v>
      </c>
      <c r="K33">
        <f t="shared" si="22"/>
        <v>16.399999999999999</v>
      </c>
      <c r="L33">
        <f t="shared" si="22"/>
        <v>18.600000000000001</v>
      </c>
      <c r="M33">
        <f t="shared" si="22"/>
        <v>18.5</v>
      </c>
      <c r="N33">
        <f t="shared" si="22"/>
        <v>17.100000000000001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S37 Requirement</vt:lpstr>
      <vt:lpstr>Array Core Scaling</vt:lpstr>
      <vt:lpstr>Tile Scaling</vt:lpstr>
      <vt:lpstr>Die Size analysis june-2015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2015-07-27T16:41:12Z</dcterms:created>
  <dcterms:modified xsi:type="dcterms:W3CDTF">2015-09-25T18:10:09Z</dcterms:modified>
</cp:coreProperties>
</file>