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cumenti disco F\SXP\Byeond 10s architecture pathfindings\DTS\"/>
    </mc:Choice>
  </mc:AlternateContent>
  <bookViews>
    <workbookView xWindow="0" yWindow="0" windowWidth="19200" windowHeight="6210" tabRatio="663"/>
  </bookViews>
  <sheets>
    <sheet name="S15, S26A DTS and 30s draft" sheetId="37" r:id="rId1"/>
    <sheet name="MTS draft rev0" sheetId="56" r:id="rId2"/>
    <sheet name="Calc" sheetId="55" r:id="rId3"/>
  </sheets>
  <definedNames>
    <definedName name="aa">#REF!</definedName>
    <definedName name="aaa">#REF!</definedName>
    <definedName name="bb">#REF!</definedName>
    <definedName name="fdacs" localSheetId="0">#REF!</definedName>
    <definedName name="fdacs">#REF!</definedName>
    <definedName name="fdacsvcc" localSheetId="0">#REF!</definedName>
    <definedName name="fdacsvcc">#REF!</definedName>
    <definedName name="ffacs" localSheetId="0">#REF!</definedName>
    <definedName name="ffacs">#REF!</definedName>
    <definedName name="ffacsvcc" localSheetId="0">#REF!</definedName>
    <definedName name="ffacsvcc">#REF!</definedName>
    <definedName name="fpgmloads" localSheetId="0">#REF!</definedName>
    <definedName name="fpgmloads">#REF!</definedName>
    <definedName name="fpgmloadsvcc" localSheetId="0">#REF!</definedName>
    <definedName name="fpgmloadsvcc">#REF!</definedName>
    <definedName name="fplanesw" localSheetId="0">#REF!</definedName>
    <definedName name="fplanesw">#REF!</definedName>
    <definedName name="fplaneswvcc" localSheetId="0">#REF!</definedName>
    <definedName name="fplaneswvcc">#REF!</definedName>
    <definedName name="fpumps" localSheetId="0">#REF!</definedName>
    <definedName name="fpumps">#REF!</definedName>
    <definedName name="fpumpsvcc" localSheetId="0">#REF!</definedName>
    <definedName name="fpumpsvcc">#REF!</definedName>
    <definedName name="ftotalaccurate" localSheetId="0">#REF!</definedName>
    <definedName name="ftotalaccurate">#REF!</definedName>
    <definedName name="gggggggg">#REF!</definedName>
    <definedName name="junk" localSheetId="0">#REF!</definedName>
    <definedName name="junk">#REF!</definedName>
    <definedName name="junk1" localSheetId="0">#REF!</definedName>
    <definedName name="junk1">#REF!</definedName>
    <definedName name="junk10" localSheetId="0">#REF!</definedName>
    <definedName name="junk10">#REF!</definedName>
    <definedName name="junk100" localSheetId="0">#REF!</definedName>
    <definedName name="junk100">#REF!</definedName>
    <definedName name="junk11" localSheetId="0">#REF!</definedName>
    <definedName name="junk11">#REF!</definedName>
    <definedName name="junk12" localSheetId="0">#REF!</definedName>
    <definedName name="junk12">#REF!</definedName>
    <definedName name="junk13" localSheetId="0">#REF!</definedName>
    <definedName name="junk13">#REF!</definedName>
    <definedName name="junk2" localSheetId="0">#REF!</definedName>
    <definedName name="junk2">#REF!</definedName>
    <definedName name="junk20" localSheetId="0">#REF!</definedName>
    <definedName name="junk20">#REF!</definedName>
    <definedName name="junk3" localSheetId="0">#REF!</definedName>
    <definedName name="junk3">#REF!</definedName>
    <definedName name="junk30" localSheetId="0">#REF!</definedName>
    <definedName name="junk30">#REF!</definedName>
    <definedName name="junk31" localSheetId="0">#REF!</definedName>
    <definedName name="junk31">#REF!</definedName>
    <definedName name="junk4" localSheetId="0">#REF!</definedName>
    <definedName name="junk4">#REF!</definedName>
    <definedName name="junk5" localSheetId="0">#REF!</definedName>
    <definedName name="junk5">#REF!</definedName>
    <definedName name="junk6" localSheetId="0">#REF!</definedName>
    <definedName name="junk6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</definedNames>
  <calcPr calcId="171027"/>
</workbook>
</file>

<file path=xl/calcChain.xml><?xml version="1.0" encoding="utf-8"?>
<calcChain xmlns="http://schemas.openxmlformats.org/spreadsheetml/2006/main">
  <c r="G38" i="37" l="1"/>
  <c r="K28" i="56" l="1"/>
  <c r="G28" i="56"/>
  <c r="J6" i="55" l="1"/>
  <c r="K6" i="55"/>
  <c r="G13" i="55"/>
  <c r="H13" i="55"/>
  <c r="H15" i="55" s="1"/>
  <c r="I13" i="55"/>
  <c r="J13" i="55"/>
  <c r="K13" i="55"/>
  <c r="G14" i="55"/>
  <c r="G42" i="55" s="1"/>
  <c r="G43" i="55" s="1"/>
  <c r="G44" i="55" s="1"/>
  <c r="H14" i="55"/>
  <c r="H42" i="55" s="1"/>
  <c r="H43" i="55" s="1"/>
  <c r="H44" i="55" s="1"/>
  <c r="I14" i="55"/>
  <c r="J14" i="55"/>
  <c r="K14" i="55"/>
  <c r="G15" i="55"/>
  <c r="J15" i="55"/>
  <c r="J34" i="55" s="1"/>
  <c r="K15" i="55"/>
  <c r="K36" i="55" s="1"/>
  <c r="K37" i="55" s="1"/>
  <c r="G19" i="55"/>
  <c r="H19" i="55"/>
  <c r="H21" i="55" s="1"/>
  <c r="H28" i="55" s="1"/>
  <c r="I19" i="55"/>
  <c r="I22" i="55" s="1"/>
  <c r="J19" i="55"/>
  <c r="J21" i="55" s="1"/>
  <c r="K19" i="55"/>
  <c r="K22" i="55" s="1"/>
  <c r="G21" i="55"/>
  <c r="G29" i="55" s="1"/>
  <c r="I21" i="55"/>
  <c r="I29" i="55" s="1"/>
  <c r="K21" i="55"/>
  <c r="K29" i="55" s="1"/>
  <c r="G22" i="55"/>
  <c r="G30" i="55" s="1"/>
  <c r="K28" i="55"/>
  <c r="K35" i="55" s="1"/>
  <c r="J42" i="55"/>
  <c r="J43" i="55" s="1"/>
  <c r="J44" i="55" s="1"/>
  <c r="K42" i="55"/>
  <c r="K43" i="55"/>
  <c r="K44" i="55" s="1"/>
  <c r="K46" i="55" l="1"/>
  <c r="K45" i="55"/>
  <c r="K48" i="55"/>
  <c r="K30" i="55"/>
  <c r="K32" i="55" s="1"/>
  <c r="K31" i="55"/>
  <c r="G28" i="55"/>
  <c r="G31" i="55"/>
  <c r="G32" i="55" s="1"/>
  <c r="H22" i="55"/>
  <c r="G46" i="55"/>
  <c r="G45" i="55"/>
  <c r="G47" i="55"/>
  <c r="G48" i="55"/>
  <c r="H36" i="55"/>
  <c r="H34" i="55"/>
  <c r="J47" i="55"/>
  <c r="J45" i="55"/>
  <c r="J46" i="55"/>
  <c r="J48" i="55"/>
  <c r="J29" i="55"/>
  <c r="J28" i="55"/>
  <c r="I31" i="55"/>
  <c r="I30" i="55"/>
  <c r="I32" i="55" s="1"/>
  <c r="G33" i="55"/>
  <c r="H45" i="55"/>
  <c r="H48" i="55"/>
  <c r="H46" i="55"/>
  <c r="H47" i="55"/>
  <c r="I42" i="55"/>
  <c r="I43" i="55" s="1"/>
  <c r="I44" i="55" s="1"/>
  <c r="K39" i="55"/>
  <c r="K40" i="55" s="1"/>
  <c r="K47" i="55"/>
  <c r="K49" i="55" s="1"/>
  <c r="K50" i="55" s="1"/>
  <c r="K38" i="55"/>
  <c r="K34" i="55"/>
  <c r="G34" i="55"/>
  <c r="H29" i="55"/>
  <c r="H35" i="55" s="1"/>
  <c r="I28" i="55"/>
  <c r="I35" i="55" s="1"/>
  <c r="J22" i="55"/>
  <c r="I15" i="55"/>
  <c r="K33" i="55" l="1"/>
  <c r="G35" i="55"/>
  <c r="G36" i="55"/>
  <c r="H49" i="55"/>
  <c r="H50" i="55" s="1"/>
  <c r="H51" i="55" s="1"/>
  <c r="H30" i="55"/>
  <c r="H31" i="55"/>
  <c r="H52" i="55"/>
  <c r="K51" i="55"/>
  <c r="J52" i="55"/>
  <c r="I48" i="55"/>
  <c r="I46" i="55"/>
  <c r="I47" i="55"/>
  <c r="I45" i="55"/>
  <c r="G49" i="55"/>
  <c r="G50" i="55" s="1"/>
  <c r="J30" i="55"/>
  <c r="J31" i="55"/>
  <c r="I34" i="55"/>
  <c r="I36" i="55"/>
  <c r="I33" i="55"/>
  <c r="J36" i="55"/>
  <c r="J35" i="55"/>
  <c r="J49" i="55"/>
  <c r="J50" i="55" s="1"/>
  <c r="J51" i="55" s="1"/>
  <c r="H38" i="55"/>
  <c r="H37" i="55"/>
  <c r="G37" i="55" l="1"/>
  <c r="G38" i="55"/>
  <c r="G39" i="55"/>
  <c r="G40" i="55" s="1"/>
  <c r="I49" i="55"/>
  <c r="I50" i="55" s="1"/>
  <c r="I52" i="55" s="1"/>
  <c r="H39" i="55"/>
  <c r="H40" i="55" s="1"/>
  <c r="H32" i="55"/>
  <c r="H33" i="55"/>
  <c r="I51" i="55"/>
  <c r="J32" i="55"/>
  <c r="J37" i="55"/>
  <c r="J39" i="55" s="1"/>
  <c r="J40" i="55" s="1"/>
  <c r="J38" i="55"/>
  <c r="J33" i="55"/>
  <c r="I38" i="55"/>
  <c r="I39" i="55" s="1"/>
  <c r="I40" i="55" s="1"/>
  <c r="I37" i="55"/>
  <c r="G51" i="55"/>
  <c r="G52" i="55"/>
</calcChain>
</file>

<file path=xl/sharedStrings.xml><?xml version="1.0" encoding="utf-8"?>
<sst xmlns="http://schemas.openxmlformats.org/spreadsheetml/2006/main" count="620" uniqueCount="428">
  <si>
    <t>SET (State and Operation)</t>
  </si>
  <si>
    <t>Start up Device Target Range</t>
  </si>
  <si>
    <t>Amplitute</t>
  </si>
  <si>
    <t>Width</t>
  </si>
  <si>
    <t>RESET (State and Operation)</t>
  </si>
  <si>
    <t>On state</t>
  </si>
  <si>
    <t>DVDI</t>
  </si>
  <si>
    <t>Array Parasitics</t>
  </si>
  <si>
    <t>Other</t>
  </si>
  <si>
    <t>2048 cells</t>
  </si>
  <si>
    <t>Decks</t>
  </si>
  <si>
    <t>WL driver tap point</t>
  </si>
  <si>
    <t>BL driver tap point</t>
  </si>
  <si>
    <t>Operating Tempearture Range</t>
  </si>
  <si>
    <t>Set Vt temperature dependence</t>
  </si>
  <si>
    <t>Set pulse total duration</t>
  </si>
  <si>
    <t>&lt;5 nA/cell at 85C</t>
  </si>
  <si>
    <t>Selection bias on A/B cells</t>
  </si>
  <si>
    <t>Reset Vt temperature dependence</t>
  </si>
  <si>
    <t>V_hold</t>
  </si>
  <si>
    <t>Reliability</t>
  </si>
  <si>
    <t>Bitline resistance max/typical/min</t>
  </si>
  <si>
    <t>Bitline capacitance max/typical/min</t>
  </si>
  <si>
    <t>Maximum Vt at first fire</t>
  </si>
  <si>
    <t>Ith</t>
  </si>
  <si>
    <t>floated</t>
  </si>
  <si>
    <t>Array Leakage</t>
  </si>
  <si>
    <t xml:space="preserve"> RESET cell, selection leakage per cell</t>
  </si>
  <si>
    <t>SET cells per WL, BL</t>
  </si>
  <si>
    <t>RESET cell per WL, BL</t>
  </si>
  <si>
    <t>Total Array+Dummy cell per WL/BL</t>
  </si>
  <si>
    <t>Total Leakage Limit per WL/BL</t>
  </si>
  <si>
    <t>End of life RBER</t>
  </si>
  <si>
    <t>Array via resistance max/typical/min</t>
  </si>
  <si>
    <t>Dummy Bias</t>
  </si>
  <si>
    <t>BL shield dummies</t>
  </si>
  <si>
    <t>WL shield dummies</t>
  </si>
  <si>
    <t>BL dummies (excluding shield dummies)</t>
  </si>
  <si>
    <t>WL dummies (excluding shield dummies)</t>
  </si>
  <si>
    <t xml:space="preserve">Edge half tile wl dummies </t>
  </si>
  <si>
    <t>Overhead due to Sockets</t>
  </si>
  <si>
    <t>Write cycling endurance: max cycles, delta Vt</t>
  </si>
  <si>
    <t>&gt; 1E7 cycles
&lt;50mV, 4sig</t>
  </si>
  <si>
    <t>Read cycling endurance: max reads, delta Vt</t>
  </si>
  <si>
    <t>1E10 reads
&lt;50mV, 4sig</t>
  </si>
  <si>
    <t>Array Architecture</t>
  </si>
  <si>
    <t xml:space="preserve"> 3.6V bias DUMMY cell, selection leakage per cell
 </t>
  </si>
  <si>
    <t>&lt;2.5 nA/cell at 85C</t>
  </si>
  <si>
    <t xml:space="preserve"> 4.4V bias DUMMY cell, selection leakage per cell</t>
  </si>
  <si>
    <t>&lt;100 nA/cell at 85C</t>
  </si>
  <si>
    <t xml:space="preserve"> 3.6V bias DUMMY cell per WL, BL
 </t>
  </si>
  <si>
    <t xml:space="preserve"> 4.4V bias DUMMY cell per WL, BL
 </t>
  </si>
  <si>
    <t>&lt;3.2pA</t>
  </si>
  <si>
    <t>-4 mV/degC</t>
  </si>
  <si>
    <t>Set pulse SQUARE target current</t>
  </si>
  <si>
    <t>-6 mV/degC</t>
  </si>
  <si>
    <t>Time0 RBER</t>
  </si>
  <si>
    <t>Proximity thermal WRITE disturb:
# of Writes before R-&gt;S or S-&gt; R disturb
delta Vt</t>
  </si>
  <si>
    <t>Proximity thermal READ disturb:
# of Reads before R-&gt;S or S-&gt;R disturb
delta Vt</t>
  </si>
  <si>
    <t>Reset retention: time@temp, delta Vt</t>
  </si>
  <si>
    <t>14day@85C + 5yr@40C,
&lt;50mV, 4sig</t>
  </si>
  <si>
    <t>SD Only Stack
Total Leakage Limit per WL/BL</t>
  </si>
  <si>
    <t>&lt;2.04V</t>
  </si>
  <si>
    <t>Yield/Goal Spec
Vehicile/Product</t>
  </si>
  <si>
    <t>4 Deck</t>
  </si>
  <si>
    <t>Nominal max cell distance to WL driver</t>
  </si>
  <si>
    <t>Nominal max cell distance to BL driver</t>
  </si>
  <si>
    <t>3.6V @ 85C</t>
  </si>
  <si>
    <t>&lt;0.5 nA/cell at 85C</t>
  </si>
  <si>
    <t>Leakage current per cell @1.2V, @85C</t>
  </si>
  <si>
    <t>READ</t>
  </si>
  <si>
    <t>Read Method/Algorithm</t>
  </si>
  <si>
    <t>SSR</t>
  </si>
  <si>
    <t>Maximum Read bias variation post sense</t>
  </si>
  <si>
    <t>&lt;50mV</t>
  </si>
  <si>
    <t>Minimum Dealy after Write before Reading</t>
  </si>
  <si>
    <t>1us</t>
  </si>
  <si>
    <t>Maximum Delay after Write before Reading</t>
  </si>
  <si>
    <t xml:space="preserve">5yr total (1.6E8s) @40C
with &lt;14days @ 85C </t>
  </si>
  <si>
    <t xml:space="preserve">Set Vt median, @ min delay after write, @ 85C </t>
  </si>
  <si>
    <t xml:space="preserve">Set Vt median, @ min delay after write, @ 25C </t>
  </si>
  <si>
    <t>5.05V</t>
  </si>
  <si>
    <t xml:space="preserve"> Vt for offset SD-only stack</t>
  </si>
  <si>
    <t>200mV lower</t>
  </si>
  <si>
    <t>Set Vt sigma, single pulse, across all drift timescales</t>
  </si>
  <si>
    <t>95 mV/sigma</t>
  </si>
  <si>
    <t>195ns</t>
  </si>
  <si>
    <t>Set pulse SHAPED capability</t>
  </si>
  <si>
    <t>Set pulse SHAPED target high current</t>
  </si>
  <si>
    <t>Set pulse SHAPED target low current</t>
  </si>
  <si>
    <t xml:space="preserve">Reset Vt median, @ min delay after write, @ 85C </t>
  </si>
  <si>
    <t xml:space="preserve">Reset Vt median, @ min delay after write, @ 25C </t>
  </si>
  <si>
    <t>6.55V</t>
  </si>
  <si>
    <t>Reset/PM delta Vt required, @ min delay after write, @25C</t>
  </si>
  <si>
    <t>1.5V</t>
  </si>
  <si>
    <t>Reset Vt sigma, single pulse, across all drift timescales</t>
  </si>
  <si>
    <t>Reset pulse duration</t>
  </si>
  <si>
    <t>10-30ns</t>
  </si>
  <si>
    <t xml:space="preserve">I-Reset current, @ 85C, Initial
Median </t>
  </si>
  <si>
    <t>&lt;85uA</t>
  </si>
  <si>
    <t xml:space="preserve">I-Reset current, @ 85C, Initial
Max </t>
  </si>
  <si>
    <t>&lt;95uA</t>
  </si>
  <si>
    <t xml:space="preserve">I-Reset current, @ 85C, Post Cycles
Median </t>
  </si>
  <si>
    <t>I-Reset current, @ 85C, Post Cycles
Max</t>
  </si>
  <si>
    <t>&lt;105uA</t>
  </si>
  <si>
    <t xml:space="preserve">I-Reset current, @ 25C, Initial
Median </t>
  </si>
  <si>
    <t xml:space="preserve">I-Reset current, @ 25C, Initial
Max </t>
  </si>
  <si>
    <t xml:space="preserve">I-Reset current, @ 25C, Post Cycles
Median </t>
  </si>
  <si>
    <t>I-Reset current, @ 25C, Post Cycles
Max</t>
  </si>
  <si>
    <t>&lt;115uA</t>
  </si>
  <si>
    <t>I-Melt current
Median</t>
  </si>
  <si>
    <t>&gt;70uA</t>
  </si>
  <si>
    <t>I-Melt current
Min</t>
  </si>
  <si>
    <t>&gt;60uA</t>
  </si>
  <si>
    <t>VTI Slope Set2Reset:
Median: Initial @ 25C</t>
  </si>
  <si>
    <t>&gt;90kohm</t>
  </si>
  <si>
    <t>Slope1 VTI Set2Reset: 
delta Vt after 50uA RESET pulse</t>
  </si>
  <si>
    <t>&lt;100mV, @+4sig</t>
  </si>
  <si>
    <t>&lt;2.19V</t>
  </si>
  <si>
    <t>Set drift Rate limit for spec, mV/decade of time</t>
  </si>
  <si>
    <t>14 mV/decade</t>
  </si>
  <si>
    <t>Reset drift Rate limit for spec,  mV/decade of time</t>
  </si>
  <si>
    <t>42 mV/decade</t>
  </si>
  <si>
    <t>4E8 writes(100s) @ 3.6V
5E8 reads(24s) @ 3.0V</t>
  </si>
  <si>
    <t>7E11 writes (2E5s) @ 1.2V</t>
  </si>
  <si>
    <t>Set state READ disturb:
# of Read @SET max with drift,
delta Vt (S2R) limit of Set distribution</t>
  </si>
  <si>
    <t>1E6 reads
&lt;50mV @+ 4sig</t>
  </si>
  <si>
    <t>Reset state READ disturb:
# of Read @100mV RESET min,
delta Vt (R2S) limit of Reset distribution</t>
  </si>
  <si>
    <t>1E6 reads
&lt;50mV @-4sig</t>
  </si>
  <si>
    <t>2E4 writes per aggressor
&lt;50mV, 4sig</t>
  </si>
  <si>
    <t>2E7 reads per aggressor
&lt;50mV, 4sig</t>
  </si>
  <si>
    <t>5.7/4.9/4.1
aF/cell/side</t>
  </si>
  <si>
    <t>12.5/10.8/9.0
aF/cell/side</t>
  </si>
  <si>
    <t>Cell capacitance max/typical/min
(at 1.2V)</t>
  </si>
  <si>
    <t>2.8/2.5/2.2
aF/cell</t>
  </si>
  <si>
    <t>9.1 V @ 85C
with 100% unfired/Reset cells</t>
  </si>
  <si>
    <t>Maximum Vt in customer operation, @85C</t>
  </si>
  <si>
    <t>7.3V</t>
  </si>
  <si>
    <t>Maximum Vt in customer operation, @25C</t>
  </si>
  <si>
    <t>7.7V</t>
  </si>
  <si>
    <t>TBD</t>
  </si>
  <si>
    <t>2048*3/4 = 1536 cells</t>
  </si>
  <si>
    <t xml:space="preserve">5.4/4.8/4.1
ohm/cell @ 85C, 4.9/4.3/3.7 ohm/cell@25C </t>
  </si>
  <si>
    <t>NA</t>
  </si>
  <si>
    <t>4912 per WL,
4912 per BL</t>
  </si>
  <si>
    <t>3280 per WL,
3280 per BL</t>
  </si>
  <si>
    <t>32 each 1024</t>
  </si>
  <si>
    <t>30.0uA per WL,
30.0uA per BL</t>
  </si>
  <si>
    <t>42.7uA per WL,
42.7 uA per BL</t>
  </si>
  <si>
    <t xml:space="preserve">13.6/12.0/10.3
ohm/cell @ 85C, 12.4/10.9/9.4 ohm/cell@25C </t>
  </si>
  <si>
    <t>D1-D2 Wordline capacitance max/typical/min</t>
  </si>
  <si>
    <t>D0-D3 Wordline resistance max/typical/min</t>
  </si>
  <si>
    <t>D1-D2 Wordline resistance max/typical/min</t>
  </si>
  <si>
    <t>Center/Quilt</t>
  </si>
  <si>
    <t>12.4/10.7/8.9
aF/cell/side</t>
  </si>
  <si>
    <r>
      <t>Reset drift maximum @25C
(+4σ</t>
    </r>
    <r>
      <rPr>
        <sz val="9.9"/>
        <color theme="1"/>
        <rFont val="Verdana"/>
        <family val="2"/>
      </rPr>
      <t xml:space="preserve"> point after 15 decades of time</t>
    </r>
    <r>
      <rPr>
        <sz val="11"/>
        <color theme="1"/>
        <rFont val="Verdana"/>
        <family val="2"/>
      </rPr>
      <t xml:space="preserve"> )</t>
    </r>
  </si>
  <si>
    <t>3 sigma</t>
  </si>
  <si>
    <t>Comments</t>
  </si>
  <si>
    <t>128Gb S15C --&gt; 256 Gb S26A</t>
  </si>
  <si>
    <t>6.9/5.9/5
ohm/cell @ 85C,                 6.1/5.4/4.6 ohm/cell@25C</t>
  </si>
  <si>
    <t>&lt;1.8K</t>
  </si>
  <si>
    <t>D0 Wordline capacitance max/typical/min</t>
  </si>
  <si>
    <t>D3 Wordline capacitance max/typical/min</t>
  </si>
  <si>
    <t>6.7/5.8/4.9
aF/cell/side</t>
  </si>
  <si>
    <t>Array IR drop = I from 2K cells/deck, R from 1.5K cells/deck; periphery IR drop from 2048 cells/side/deck</t>
  </si>
  <si>
    <t>3 current levels
I1: Selection
I2: Optional
I3: MirrorB
I4: MirrorC</t>
  </si>
  <si>
    <t>25-60 uA: max spike mit</t>
  </si>
  <si>
    <t>I3: MirrorB
40-60 uA: max spike mit</t>
  </si>
  <si>
    <t>I4: MirrorC
25-40 uA: max spike mit</t>
  </si>
  <si>
    <t>Memory
Ship Release
S26A - POR (DTS 1.3)</t>
  </si>
  <si>
    <t>AV0: 600/200/60 ohm/via; AV1/AV3/AV5: 6K/3K/1.5K ohm/via; AV7: 7K/3.5K/1.7K ohm/via (@25)</t>
  </si>
  <si>
    <t>2048*3/4 = 1536</t>
  </si>
  <si>
    <t>eSSR</t>
  </si>
  <si>
    <t>E2/E3 margin (higher VDMs)</t>
  </si>
  <si>
    <t>E2/E3 margin</t>
  </si>
  <si>
    <t>VDM variation</t>
  </si>
  <si>
    <t>Total leakage</t>
  </si>
  <si>
    <t>BL path leakage drop</t>
  </si>
  <si>
    <t>Column leakage drop</t>
  </si>
  <si>
    <t>WL path leakage drop</t>
  </si>
  <si>
    <t>Row leakage drop</t>
  </si>
  <si>
    <t>WL/BL Leakage per cell</t>
  </si>
  <si>
    <t>Bias as percentage of Set VT</t>
  </si>
  <si>
    <t>WL/BL bias</t>
  </si>
  <si>
    <t>Read</t>
  </si>
  <si>
    <t>(VPP-VNN) for Selection</t>
  </si>
  <si>
    <t>VPP needed for Selection</t>
  </si>
  <si>
    <t>BL path leakage drop at max bl bias</t>
  </si>
  <si>
    <t>Column leakage drop at max bl bias</t>
  </si>
  <si>
    <t>Max BL bias for selection</t>
  </si>
  <si>
    <t>VNN needed for Selection</t>
  </si>
  <si>
    <t># of Cells needing c-cell (sigma)</t>
  </si>
  <si>
    <t>E4 Margin</t>
  </si>
  <si>
    <t>E1 Margin</t>
  </si>
  <si>
    <t>VNN/BLWRTV variation</t>
  </si>
  <si>
    <t>Write</t>
  </si>
  <si>
    <t>Reset Read Disturb</t>
  </si>
  <si>
    <t>Reset Drift</t>
  </si>
  <si>
    <t>Set Drift</t>
  </si>
  <si>
    <t>B cell Leakage per cell</t>
  </si>
  <si>
    <t>A cell Leakage per cell</t>
  </si>
  <si>
    <t>Inhibit bias as a % of set Vt</t>
  </si>
  <si>
    <t>C-cell bias</t>
  </si>
  <si>
    <t>Vt sigma</t>
  </si>
  <si>
    <t>Inhibit bias</t>
  </si>
  <si>
    <t>Max Reset VT</t>
  </si>
  <si>
    <t>Max Set VT</t>
  </si>
  <si>
    <t>Median Reset VT</t>
  </si>
  <si>
    <t>Delta VT</t>
  </si>
  <si>
    <t>Median SET Vt</t>
  </si>
  <si>
    <t>BL path resistance</t>
  </si>
  <si>
    <t>BL resistance</t>
  </si>
  <si>
    <t>WL path resistance</t>
  </si>
  <si>
    <t>WL resistance</t>
  </si>
  <si>
    <t># of B cells</t>
  </si>
  <si>
    <t># of A cells</t>
  </si>
  <si>
    <t>30 Series 4Kx8K 10x lower leakage as 20s</t>
  </si>
  <si>
    <t>30 Series 4Kx8K 1/2 leakage as 20s</t>
  </si>
  <si>
    <t>30 Series 4Kx4K  1/2 leakage as 20s</t>
  </si>
  <si>
    <t>20s Lower Vt</t>
  </si>
  <si>
    <t>20s POR</t>
  </si>
  <si>
    <t>Column1</t>
  </si>
  <si>
    <t>1x 20 series</t>
  </si>
  <si>
    <t>30 Series 4Kx4K</t>
  </si>
  <si>
    <t>??</t>
  </si>
  <si>
    <t>31 Series 4Kx8K 10x lower leakage as 20s</t>
  </si>
  <si>
    <t>4kx4k --&gt; 1.67x, 4kx8k --&gt; 1.4x (BL) 1.4x(WL) to keep IR drop across the array path</t>
  </si>
  <si>
    <t>0.5x 20 series</t>
  </si>
  <si>
    <t>50% cell area</t>
  </si>
  <si>
    <t xml:space="preserve"> SET cell, selection leakage per cell (@ 75% of Set VT)</t>
  </si>
  <si>
    <t>30% lower than 20 series. TCAD simultions point to 0.6X. 0.1X additional margin applied</t>
  </si>
  <si>
    <t>120 mV/sigma</t>
  </si>
  <si>
    <t>no SD thickness change - same sigma assumed as for actual silicon ED4 10s rev 7.64</t>
  </si>
  <si>
    <t>W 35 nm</t>
  </si>
  <si>
    <t xml:space="preserve">3 nm HUC </t>
  </si>
  <si>
    <t>7 nm HUCN</t>
  </si>
  <si>
    <t>5 nm HUCN</t>
  </si>
  <si>
    <t>or equivalent graded version</t>
  </si>
  <si>
    <t>SD 17 nm</t>
  </si>
  <si>
    <t>8 nm HUCN</t>
  </si>
  <si>
    <t>2 nm HUC</t>
  </si>
  <si>
    <t>or equivalent graded version (15 nm as dep)</t>
  </si>
  <si>
    <t>Cross section along the WL</t>
  </si>
  <si>
    <t>Cross section along the BL</t>
  </si>
  <si>
    <t>PM</t>
  </si>
  <si>
    <t>SD</t>
  </si>
  <si>
    <t>- no SD thickness scaling</t>
  </si>
  <si>
    <t xml:space="preserve">actual s26 AR is </t>
  </si>
  <si>
    <t>W 55 nm</t>
  </si>
  <si>
    <t>WSiN 2.5 nm</t>
  </si>
  <si>
    <t>7 nm HUC + 5 nm HBC</t>
  </si>
  <si>
    <t xml:space="preserve">2X area factor </t>
  </si>
  <si>
    <t>2X area factor</t>
  </si>
  <si>
    <t>WSiN 4 nm</t>
  </si>
  <si>
    <t>1.6X x 20 series</t>
  </si>
  <si>
    <t>WSiN thickness scaling 0.8X ( 4nm)  -&gt; Rvia 1.6X</t>
  </si>
  <si>
    <t>1.18V</t>
  </si>
  <si>
    <t>- MTS is already considering CN in MEC and TEC</t>
  </si>
  <si>
    <t xml:space="preserve">- resulting cell AR (2nd cut) is </t>
  </si>
  <si>
    <t xml:space="preserve">- no Es thickness scaling </t>
  </si>
  <si>
    <t>- only WSiN scales from 5 nm to 4 nm</t>
  </si>
  <si>
    <t>no SD/PM thicknesses change - same sigma assumed as for actual silicon ED1 1us rev 7.64</t>
  </si>
  <si>
    <t>PM 40 nm</t>
  </si>
  <si>
    <r>
      <t xml:space="preserve">Reset/PM delta Vt required, @ min delay after write, </t>
    </r>
    <r>
      <rPr>
        <b/>
        <sz val="11"/>
        <color theme="1"/>
        <rFont val="Verdana"/>
        <family val="2"/>
      </rPr>
      <t>@85C</t>
    </r>
  </si>
  <si>
    <t>4.41V</t>
  </si>
  <si>
    <t>5.59V</t>
  </si>
  <si>
    <t>Memory
Qual/PG1 Tier1
S26A - POR (DTS 2.3)</t>
  </si>
  <si>
    <t>0C to 85 C</t>
  </si>
  <si>
    <t>&lt;5 nA/cell at any T, at sel_bias/VT_set=3.6V/4.41V=0.82</t>
  </si>
  <si>
    <t>&lt;2 nA/cell at any T, at sel_bias/VT_reset=3.6V/5.67V</t>
  </si>
  <si>
    <t>&lt;2.5 nA/cell at any T, at sel_bias/VT_FF</t>
  </si>
  <si>
    <t>&lt;100 nA/cell at any T, at 4.8V/VT</t>
  </si>
  <si>
    <t>total dummies: 80 x 2 decks
GND/c-cell dummies: 16 x 2 decks</t>
  </si>
  <si>
    <t xml:space="preserve">active: 4096 x 2 decks (63 B cells FLT; 31 A cells FLT)
dummies: 80 x 2 decks
total active+dummies: 8352 </t>
  </si>
  <si>
    <t>35.0uA per WL,
35.0uA per BL</t>
  </si>
  <si>
    <t>&lt;3.2pA at any T</t>
  </si>
  <si>
    <t xml:space="preserve">7yr total @40C
with &lt;2days @ 85C </t>
  </si>
  <si>
    <t>4.65V</t>
  </si>
  <si>
    <t xml:space="preserve">-4 mV/degC </t>
  </si>
  <si>
    <t>105 mV/sigma</t>
  </si>
  <si>
    <t xml:space="preserve">245ns </t>
  </si>
  <si>
    <t>30mV</t>
  </si>
  <si>
    <t xml:space="preserve">
I1 = I-Seed = Plateau-1 = 40uA (w/c) at -40C; I3 = I-Growth = Plateau-3 = 65uA (w/c) at -40C; I4 = I-stop = Plateau-4 Temp-co set independently capability</t>
  </si>
  <si>
    <t>I3 = I-Growth = Plateau-3
40-65 uA: max spike mit</t>
  </si>
  <si>
    <t>I1/I4
25-40 uA: max spike mit</t>
  </si>
  <si>
    <t>5.59V (at 1us)</t>
  </si>
  <si>
    <t>5.95V (at 1us)</t>
  </si>
  <si>
    <t>1.18 @85C (at 1us), ∆RST 0.55V 1us-3s @85C (drift)</t>
  </si>
  <si>
    <t>1.25V @1us
∆RST 0.1V 1us-25us</t>
  </si>
  <si>
    <t>1.3V @1us</t>
  </si>
  <si>
    <t>90 mV/sigma</t>
  </si>
  <si>
    <t>5-10ns</t>
  </si>
  <si>
    <t xml:space="preserve">&lt;105uA </t>
  </si>
  <si>
    <t>&lt;125uA</t>
  </si>
  <si>
    <t>&lt;18uA FF, &lt;19uA MM, &lt;24uA NN @HT; &lt;20uA FF, &lt;22uA MM, &lt;27uA NN @0C</t>
  </si>
  <si>
    <t>-10k &lt;DVDI &lt;1.8k</t>
  </si>
  <si>
    <t>2.5V, +/- 0.1V (all T)</t>
  </si>
  <si>
    <t>2.9V, +/- 0.1V (all T)</t>
  </si>
  <si>
    <t>2.7V +/- 0.1V (all T)</t>
  </si>
  <si>
    <t>2.2V, +/- 0.2V (all T)</t>
  </si>
  <si>
    <t>2.6V, +/- 0.2V (all T)</t>
  </si>
  <si>
    <t>2.4V +/- 0.2V (all T)</t>
  </si>
  <si>
    <t>1E-18
(10b/2kb)</t>
  </si>
  <si>
    <t>5E-5 (Binomial Worst Unit)</t>
  </si>
  <si>
    <r>
      <rPr>
        <u/>
        <sz val="11"/>
        <rFont val="Verdana"/>
        <family val="2"/>
      </rPr>
      <t>SET</t>
    </r>
    <r>
      <rPr>
        <sz val="11"/>
        <rFont val="Verdana"/>
        <family val="2"/>
      </rPr>
      <t xml:space="preserve">: 0C-85C,3s-48hr CWFR@VDM3&lt;EOL_CWFR, 
630mV @EOL RBER
0C-85C,1us-10s
CWFR@VDM1&lt;EOL_CWFR,
240mV @EOL_RBER
</t>
    </r>
    <r>
      <rPr>
        <u/>
        <sz val="11"/>
        <rFont val="Verdana"/>
        <family val="2"/>
      </rPr>
      <t>RST</t>
    </r>
    <r>
      <rPr>
        <sz val="11"/>
        <rFont val="Verdana"/>
        <family val="2"/>
      </rPr>
      <t>: 0C-85C,1us-48hr, 
E4 CWFR@VDM1_1us&lt;EOL_CWFR, 
1V @EOL RBER</t>
    </r>
  </si>
  <si>
    <t>N/A</t>
  </si>
  <si>
    <r>
      <rPr>
        <u/>
        <sz val="11"/>
        <rFont val="Verdana"/>
        <family val="2"/>
      </rPr>
      <t>SET</t>
    </r>
    <r>
      <rPr>
        <sz val="11"/>
        <rFont val="Verdana"/>
        <family val="2"/>
      </rPr>
      <t xml:space="preserve">: BOL 40C, 7yr+60C, 3mos+85C,3days;
 EOL 40C, 3mos (or eq 30C, 1yr) 
CWFR@VDM3&lt;EOL CWFR, 
630mV @EOL_RBER
</t>
    </r>
    <r>
      <rPr>
        <u/>
        <sz val="11"/>
        <rFont val="Verdana"/>
        <family val="2"/>
      </rPr>
      <t>RST</t>
    </r>
    <r>
      <rPr>
        <sz val="11"/>
        <rFont val="Verdana"/>
        <family val="2"/>
      </rPr>
      <t>: BOL 40C, 7yr+60C, 3mos+85C,3days; 
EOL 40C, 3mos (or eq 30C, 1yr)
E4 CWFR@VDM1_1us&lt;EOL_CWFR, 
1V @EOL RBER</t>
    </r>
  </si>
  <si>
    <t>2.8E10 writes@ Ccell bias</t>
  </si>
  <si>
    <t>2.5e5 reads (delays: 1s)
meeting EOL RBER</t>
  </si>
  <si>
    <t>2.5e5 reads (1us, ~1ms to 1s, 1us); &amp;
5e3 reads (1us, 1us, 1us)
meeting EOL RBER</t>
  </si>
  <si>
    <t>2048 NW host writes per aggressor, aggression on all 5 aggressors, all delays 1us, meeting EOL RBER</t>
  </si>
  <si>
    <t>2.048E6 reads per aggressor, aggression on all 5 aggressors, meeting EOL RBER</t>
  </si>
  <si>
    <r>
      <t>4E6 NW host cycles
&amp; 4e4 FW cycles
meeting EOL RBER for E3 (at Vdm_tbd) [</t>
    </r>
    <r>
      <rPr>
        <sz val="11"/>
        <rFont val="Calibri"/>
        <family val="2"/>
      </rPr>
      <t>∆</t>
    </r>
    <r>
      <rPr>
        <sz val="11"/>
        <rFont val="Verdana"/>
        <family val="2"/>
      </rPr>
      <t xml:space="preserve">E3 @EOL@20kNW RBER &lt;100mV]
&amp; EOL RBER for E2  (at Vdm_tbd - drift GB)
both at 1us 
with dynamic VDM adjustment
</t>
    </r>
    <r>
      <rPr>
        <u/>
        <sz val="11"/>
        <rFont val="Verdana"/>
        <family val="2"/>
      </rPr>
      <t>0-20k</t>
    </r>
    <r>
      <rPr>
        <sz val="11"/>
        <rFont val="Verdana"/>
        <family val="2"/>
      </rPr>
      <t xml:space="preserve">: VDM1/VDM2/VDM3 as trimmed at probe
</t>
    </r>
    <r>
      <rPr>
        <u/>
        <sz val="11"/>
        <rFont val="Verdana"/>
        <family val="2"/>
      </rPr>
      <t>2k-40k</t>
    </r>
    <r>
      <rPr>
        <sz val="11"/>
        <rFont val="Verdana"/>
        <family val="2"/>
      </rPr>
      <t xml:space="preserve">: VDM1/VDM2/VDM3 –75mV
</t>
    </r>
    <r>
      <rPr>
        <u/>
        <sz val="11"/>
        <rFont val="Verdana"/>
        <family val="2"/>
      </rPr>
      <t>20k-130k</t>
    </r>
    <r>
      <rPr>
        <sz val="11"/>
        <rFont val="Verdana"/>
        <family val="2"/>
      </rPr>
      <t xml:space="preserve">: VDM1/VDM2/VDM3 –100mV
</t>
    </r>
    <r>
      <rPr>
        <u/>
        <sz val="11"/>
        <rFont val="Verdana"/>
        <family val="2"/>
      </rPr>
      <t>100k-500k</t>
    </r>
    <r>
      <rPr>
        <sz val="11"/>
        <rFont val="Verdana"/>
        <family val="2"/>
      </rPr>
      <t xml:space="preserve">: VDM1/VDM2/VDM3 –125mV
</t>
    </r>
    <r>
      <rPr>
        <u/>
        <sz val="11"/>
        <rFont val="Verdana"/>
        <family val="2"/>
      </rPr>
      <t>400k-2M</t>
    </r>
    <r>
      <rPr>
        <sz val="11"/>
        <rFont val="Verdana"/>
        <family val="2"/>
      </rPr>
      <t xml:space="preserve">: VDM1/VDM2/VDM3 –150mV
</t>
    </r>
    <r>
      <rPr>
        <u/>
        <sz val="11"/>
        <rFont val="Verdana"/>
        <family val="2"/>
      </rPr>
      <t>800k-4M</t>
    </r>
    <r>
      <rPr>
        <sz val="11"/>
        <rFont val="Verdana"/>
        <family val="2"/>
      </rPr>
      <t>: VDM1/VDM2/VDM3 –175mV</t>
    </r>
  </si>
  <si>
    <t>(1) 4e8 rds with 1 FW every 5000 rds; 
(2) 2.5e5 rds back2back (no interspersed writes) pre &amp; post max write cycles</t>
  </si>
  <si>
    <t>active: 1us to 2day 0C-85C +
power-off: 1us to 7yrs@40C uncycled &amp; 3mos@40C EOL,
meeting EOL RBER</t>
  </si>
  <si>
    <t xml:space="preserve">AV0: 600/200/60 ohm/via (all T); AV1/AV3/AV5: 6K/3K/1.5K ohm/via @25C, +1K @ -40C, -1K @85C; AV7: 7K/3.5K/1.7K ohm/via @25C, +1K @ -40C, -1K @85C  </t>
  </si>
  <si>
    <t xml:space="preserve">13.6/12.0/10.3 ohm/cell @ 85C, 12.4/10.9/9.4 ohm/cell@25C, 10.9/9.6/8.2 ohm/cell @-40C </t>
  </si>
  <si>
    <t>6.9/5.9/5 ohm/cell @ 85C, 6.1/5.4/4.6 ohm/cell@25C, 5.5/4.7/4 ohm/cell at -40C</t>
  </si>
  <si>
    <t>5.4/4.8/4.1 ohm/cell @ 85C, 4.9/4.3/3.7 ohm/cell@25C,                                                                                     4.3/3.84/3.3 ohm/cell at -40C</t>
  </si>
  <si>
    <t>0V</t>
  </si>
  <si>
    <t>0V/0.8V</t>
  </si>
  <si>
    <t>60 x 3 socket area</t>
  </si>
  <si>
    <t>21.35uA per WL,
21.35 uA per BL</t>
  </si>
  <si>
    <t>&lt;1.6pA</t>
  </si>
  <si>
    <t>match s26</t>
  </si>
  <si>
    <t>given as a target for material exploration (CD worsening projections on-going)</t>
  </si>
  <si>
    <t xml:space="preserve"> 1.15V that is actual 7.64/CR5 +120 mV scaling projections (85C)</t>
  </si>
  <si>
    <t>&gt;60% of 70uA =42uA</t>
  </si>
  <si>
    <t>&lt;2.5 nA/cell at any T, at sel_bias/VT_set=3.6V/4.41V=0.82</t>
  </si>
  <si>
    <t>&lt;1 nA/cell at any T, at sel_bias/VT_reset=3.6V/5.67V</t>
  </si>
  <si>
    <t>&lt;1.25 nA/cell at any T, at sel_bias/VT_FF</t>
  </si>
  <si>
    <t>&lt;50 nA/cell at any T, at 4.8V/VT</t>
  </si>
  <si>
    <t>same as 20s</t>
  </si>
  <si>
    <t>total dummies: 80 x 2 decks
floating dummies: 64 x 2 decks</t>
  </si>
  <si>
    <t>17.5uA per WL,
17.5uA per BL</t>
  </si>
  <si>
    <t>t sense</t>
  </si>
  <si>
    <t>30 ns</t>
  </si>
  <si>
    <t>Max Systematic Xtile SET VT Variation</t>
  </si>
  <si>
    <t>assume same algorithm, current scaling 70%</t>
  </si>
  <si>
    <t>5.68V (at 1us)</t>
  </si>
  <si>
    <t>6.04 V (at 1us)</t>
  </si>
  <si>
    <t>1.27 @85C (at 1us), ∆RST 0.55V 1us-3s @85C (drift)</t>
  </si>
  <si>
    <t>Reset/PM delta Vt required, @ min delay after write, @50C</t>
  </si>
  <si>
    <t>1.39 V</t>
  </si>
  <si>
    <t>1.34V @1us
∆RST 0.1V 1us-25us</t>
  </si>
  <si>
    <t>Ihold</t>
  </si>
  <si>
    <t>Voffset</t>
  </si>
  <si>
    <t>Von @ I-Reset (change across-T), Initial</t>
  </si>
  <si>
    <t>Von @ I-Set Nucleation (change across-T), Initial</t>
  </si>
  <si>
    <t>Von @ I-Set growth (change across-T), Initial</t>
  </si>
  <si>
    <t>Von @ I-Reset (change across-T), Post-cycles</t>
  </si>
  <si>
    <t>Von @ I-Set Nucleation (change across-T), Post-cycles</t>
  </si>
  <si>
    <t>Von @ I-Set growth (change across-T), Post-cycles</t>
  </si>
  <si>
    <t>3.0V, +/- 0.1V (all T)</t>
  </si>
  <si>
    <t>3.3V, +/- 0.1V (all T)</t>
  </si>
  <si>
    <t>2.8V, +/- 0.1V (all T)</t>
  </si>
  <si>
    <t>2.8V +/- 0.1V (all T)</t>
  </si>
  <si>
    <t>2.3V +/- 0.1V (all T)</t>
  </si>
  <si>
    <t>Codeword Failrate (CWFR) (with address offset)</t>
  </si>
  <si>
    <t>For Codeword Failure Rate (CWFR), use an ECC level of 13b/10b (PG4/PG1) and a codeword of 2kb = 128 [bits/addrs/partition] * 1 [addr/partition] * 16 partitions.  Assume Address Offset ON. Meant for data integrity/reliability criteria below (not performance).</t>
  </si>
  <si>
    <t>Placeholder guardband of 1X vs EOL RBER (needs to be validated based on data)
assuming worst case RBER at the die level - if sampling is limited, then this could be the worst known case (such as worst ED) within the die</t>
  </si>
  <si>
    <r>
      <t xml:space="preserve">This is derived from the CWFR (row 82) number using a binomial probability calculation.  It is the right goal only for the "ideal" case of statistically randomly and uniformly distirbuted bit-errors.  In reality there is always some systematic variability - such as X-tile ED dependence.  In which case the equivalent </t>
    </r>
    <r>
      <rPr>
        <u/>
        <sz val="11"/>
        <rFont val="Verdana"/>
        <family val="2"/>
      </rPr>
      <t>average</t>
    </r>
    <r>
      <rPr>
        <sz val="11"/>
        <rFont val="Verdana"/>
        <family val="2"/>
      </rPr>
      <t xml:space="preserve"> RBER needed to meet the CWFR goal will be lower, by a factor called "cluster factor (CF)".  Ideally, we want to determine this from data.  This has been seen to be ~2X - which could be used as an approx value we could use in absence of data; and then validated based on RWB/ULR data - e.g., for PG4T2, the EOL </t>
    </r>
    <r>
      <rPr>
        <u/>
        <sz val="11"/>
        <rFont val="Verdana"/>
        <family val="2"/>
      </rPr>
      <t>average</t>
    </r>
    <r>
      <rPr>
        <sz val="11"/>
        <rFont val="Verdana"/>
        <family val="2"/>
      </rPr>
      <t xml:space="preserve"> RBER goal would be 4e-4 rather than 8e-4.   Alternatively, the binomial EOL RBER goal stated here could be considered to correspond to the worst CW (or worst DCG/TBD unit, such as corresponding to the worst ED) within a die (or sample) - e.g., for PG4T2, we would use the 8E-4 value as the goal if we are looking at the RBER of the worst-case ED in a die if the Xtile ED variability is strong and the dominant component of variability.</t>
    </r>
  </si>
  <si>
    <t>Power ON Drift (Reliability/Data Integrity)
after unbiased and biased conditions
(A/B/C cell #aggressions seen by victims is shown below)</t>
  </si>
  <si>
    <t>Power ON Drift (Performance)
after unbiased and biased conditions
(A/B/C cell #aggressions seen by victims is shown below)</t>
  </si>
  <si>
    <t>Power OFF Drift (Reliability/Data Integrity)
after unbiased condition</t>
  </si>
  <si>
    <t>Power OFF Drift (Performance)
after unbiased condition</t>
  </si>
  <si>
    <r>
      <rPr>
        <u/>
        <sz val="11"/>
        <color rgb="FFFF0000"/>
        <rFont val="Verdana"/>
        <family val="2"/>
      </rPr>
      <t>SET</t>
    </r>
    <r>
      <rPr>
        <sz val="11"/>
        <color rgb="FFFF0000"/>
        <rFont val="Verdana"/>
        <family val="2"/>
      </rPr>
      <t xml:space="preserve">: 0C-85C,3s-48hr CWFR@VDM3&lt;EOL_CWFR, 
630mV @EOL RBER
0C-85C,1us-10s
CWFR@VDM1&lt;EOL_CWFR,
240mV @EOL_RBER
</t>
    </r>
    <r>
      <rPr>
        <u/>
        <sz val="11"/>
        <color rgb="FFFF0000"/>
        <rFont val="Verdana"/>
        <family val="2"/>
      </rPr>
      <t>RST</t>
    </r>
    <r>
      <rPr>
        <sz val="11"/>
        <color rgb="FFFF0000"/>
        <rFont val="Verdana"/>
        <family val="2"/>
      </rPr>
      <t>: 0C-85C,1us-48hr, 
E4 CWFR@VDM1_1us&lt;EOL_CWFR, 
1V @EOL RBER</t>
    </r>
  </si>
  <si>
    <r>
      <rPr>
        <u/>
        <sz val="11"/>
        <color rgb="FFFF0000"/>
        <rFont val="Verdana"/>
        <family val="2"/>
      </rPr>
      <t>SET</t>
    </r>
    <r>
      <rPr>
        <sz val="11"/>
        <color rgb="FFFF0000"/>
        <rFont val="Verdana"/>
        <family val="2"/>
      </rPr>
      <t xml:space="preserve">: BOL 40C, 7yr+60C, 3mos+85C,3days;
 EOL 40C, 3mos (or eq 30C, 1yr) 
CWFR@VDM3&lt;EOL CWFR, 
630mV @EOL_RBER
</t>
    </r>
    <r>
      <rPr>
        <u/>
        <sz val="11"/>
        <color rgb="FFFF0000"/>
        <rFont val="Verdana"/>
        <family val="2"/>
      </rPr>
      <t>RST</t>
    </r>
    <r>
      <rPr>
        <sz val="11"/>
        <color rgb="FFFF0000"/>
        <rFont val="Verdana"/>
        <family val="2"/>
      </rPr>
      <t>: BOL 40C, 7yr+60C, 3mos+85C,3days; 
EOL 40C, 3mos (or eq 30C, 1yr)
E4 CWFR@VDM1_1us&lt;EOL_CWFR, 
1V @EOL RBER</t>
    </r>
  </si>
  <si>
    <t>A/B type cell Bias Drift Conditions
#writes/reads (aggressions as seen by victim), bias (Reliability)</t>
  </si>
  <si>
    <t>1E7 writes @ write deselct bias
2.5E8 reads @ read deselct bias</t>
  </si>
  <si>
    <t>C type cell Bias Drift Conditions
#writes (aggressions as seen by victim), time, bias (Reliability)</t>
  </si>
  <si>
    <t>A/B type cell Bias Drift Conditions
#writes/reads (aggressions as seen by victim), bias (Performance)</t>
  </si>
  <si>
    <t>C type cell Bias Drift Conditions
#writes (aggressions as seen by victim), time, bias (Performance)</t>
  </si>
  <si>
    <r>
      <t>4E6 NW host cycles
&amp; 4e4 FW cycles
meeting EOL RBER for E3 (at Vdm_tbd) [</t>
    </r>
    <r>
      <rPr>
        <sz val="11"/>
        <color rgb="FFFF0000"/>
        <rFont val="Calibri"/>
        <family val="2"/>
      </rPr>
      <t>∆</t>
    </r>
    <r>
      <rPr>
        <sz val="11"/>
        <color rgb="FFFF0000"/>
        <rFont val="Verdana"/>
        <family val="2"/>
      </rPr>
      <t xml:space="preserve">E3 @EOL@20kNW RBER &lt;100mV]
&amp; EOL RBER for E2  (at Vdm_tbd - drift GB)
both at 1us 
with dynamic VDM adjustment
</t>
    </r>
    <r>
      <rPr>
        <u/>
        <sz val="11"/>
        <color rgb="FFFF0000"/>
        <rFont val="Verdana"/>
        <family val="2"/>
      </rPr>
      <t>0-20k</t>
    </r>
    <r>
      <rPr>
        <sz val="11"/>
        <color rgb="FFFF0000"/>
        <rFont val="Verdana"/>
        <family val="2"/>
      </rPr>
      <t xml:space="preserve">: VDM1/VDM2/VDM3 as trimmed at probe
</t>
    </r>
    <r>
      <rPr>
        <u/>
        <sz val="11"/>
        <color rgb="FFFF0000"/>
        <rFont val="Verdana"/>
        <family val="2"/>
      </rPr>
      <t>2k-40k</t>
    </r>
    <r>
      <rPr>
        <sz val="11"/>
        <color rgb="FFFF0000"/>
        <rFont val="Verdana"/>
        <family val="2"/>
      </rPr>
      <t xml:space="preserve">: VDM1/VDM2/VDM3 –75mV
</t>
    </r>
    <r>
      <rPr>
        <u/>
        <sz val="11"/>
        <color rgb="FFFF0000"/>
        <rFont val="Verdana"/>
        <family val="2"/>
      </rPr>
      <t>20k-130k</t>
    </r>
    <r>
      <rPr>
        <sz val="11"/>
        <color rgb="FFFF0000"/>
        <rFont val="Verdana"/>
        <family val="2"/>
      </rPr>
      <t xml:space="preserve">: VDM1/VDM2/VDM3 –100mV
</t>
    </r>
    <r>
      <rPr>
        <u/>
        <sz val="11"/>
        <color rgb="FFFF0000"/>
        <rFont val="Verdana"/>
        <family val="2"/>
      </rPr>
      <t>100k-500k</t>
    </r>
    <r>
      <rPr>
        <sz val="11"/>
        <color rgb="FFFF0000"/>
        <rFont val="Verdana"/>
        <family val="2"/>
      </rPr>
      <t xml:space="preserve">: VDM1/VDM2/VDM3 –125mV
</t>
    </r>
    <r>
      <rPr>
        <u/>
        <sz val="11"/>
        <color rgb="FFFF0000"/>
        <rFont val="Verdana"/>
        <family val="2"/>
      </rPr>
      <t>400k-2M</t>
    </r>
    <r>
      <rPr>
        <sz val="11"/>
        <color rgb="FFFF0000"/>
        <rFont val="Verdana"/>
        <family val="2"/>
      </rPr>
      <t xml:space="preserve">: VDM1/VDM2/VDM3 –150mV
</t>
    </r>
    <r>
      <rPr>
        <u/>
        <sz val="11"/>
        <color rgb="FFFF0000"/>
        <rFont val="Verdana"/>
        <family val="2"/>
      </rPr>
      <t>800k-4M</t>
    </r>
    <r>
      <rPr>
        <sz val="11"/>
        <color rgb="FFFF0000"/>
        <rFont val="Verdana"/>
        <family val="2"/>
      </rPr>
      <t>: VDM1/VDM2/VDM3 –175mV</t>
    </r>
  </si>
  <si>
    <t>BL equivalent extra cells</t>
  </si>
  <si>
    <t>WL equivalent extra cells</t>
  </si>
  <si>
    <t>1.43x 20 series</t>
  </si>
  <si>
    <t>&lt;12 uA (high risk, no projections available)</t>
  </si>
  <si>
    <t xml:space="preserve"> set Vt plus 1.15V window (that is actual 7.64/CR5) +120 mV scaling projections (85C)</t>
  </si>
  <si>
    <t>+360 mV for the -60 C temperature</t>
  </si>
  <si>
    <t>same delta with T from s20 (+70 mV)</t>
  </si>
  <si>
    <t>same delta with T from s20 (+ 50 mV)</t>
  </si>
  <si>
    <t>CR 7.64 running 2.7 V @ 100 uA. +300 mV for PG1T1 electrode package. -500 mV for cycling up to 2MFW</t>
  </si>
  <si>
    <t>taken from a typical ON-IV</t>
  </si>
  <si>
    <t>applying -500 mV to a typical ON-IV</t>
  </si>
  <si>
    <t>same as in 20s</t>
  </si>
  <si>
    <t>with PG1T1 filling plus 0.25X capability reduction projected by TCAD sim</t>
  </si>
  <si>
    <t>same as in 20s (assuming same E3 shift)</t>
  </si>
  <si>
    <t>capicitance per cell (same for two tile size)</t>
  </si>
  <si>
    <t>Deleted 4kx8k tile option</t>
  </si>
  <si>
    <t>check for -40C to 85C 20s DTS</t>
  </si>
  <si>
    <t>Request to check consistency between 20s DTS and RWB on actual silicon. Then take the same for 30s</t>
  </si>
  <si>
    <t>Trade-off with window is critical here. To be understood from material standpoint</t>
  </si>
  <si>
    <t>check if 20s DTS is consistent with actual Inucleation trimmings</t>
  </si>
  <si>
    <t>Suggestion to check consistency of 10s/20s RWB with actual sigma numbers. If consistency is there: first change 20s DTS and then align 30s DTS with 20s DTS</t>
  </si>
  <si>
    <t>See comment above</t>
  </si>
  <si>
    <t>check RC expectations from sim</t>
  </si>
  <si>
    <t>60% of 95uA =57 uA</t>
  </si>
  <si>
    <t>60% of 105uA =63 uA</t>
  </si>
  <si>
    <t>40% lower than 20 series</t>
  </si>
  <si>
    <t>40% lower than 20 series (7.64 silicon running at 120 uA) TECN will get back the residual</t>
  </si>
  <si>
    <t>60% of 115uA =70uA</t>
  </si>
  <si>
    <t>60% of 125uA =75uA</t>
  </si>
  <si>
    <t>&gt;60% of 60uA =36uA</t>
  </si>
  <si>
    <t>computed as 1.18 V/(57e-6-42e-6), initial @RT</t>
  </si>
  <si>
    <t>&gt;78kohm</t>
  </si>
  <si>
    <t>it will scale &gt;60% and it depends on parasitics. It is under investigation. Today is 17 uA in median on CR 7.64 D0 RT</t>
  </si>
  <si>
    <t>assume same algorithm, current scaling 60%</t>
  </si>
  <si>
    <t xml:space="preserve">
I1 = I-Seed = Plateau-1 = 24uA (w/c) at -40C; I3 = I-Growth = Plateau-3 = 39uA (w/c) at -40C; I4 = I-stop = Plateau-4 Temp-co set independently capability</t>
  </si>
  <si>
    <t>I3 = I-Growth = Plateau-3
24-39 uA: max spike mit</t>
  </si>
  <si>
    <t>I1/I4
15-24 uA: max spike mit</t>
  </si>
  <si>
    <t>assume same algorithm, current scaling 60%. Check 20s numbers</t>
  </si>
  <si>
    <t>Idelivery Max ED</t>
  </si>
  <si>
    <t>135 uA</t>
  </si>
  <si>
    <t>85 uA</t>
  </si>
  <si>
    <t>Added as a margin for IRST max (75 uA)</t>
  </si>
  <si>
    <t>-40C to 85 C</t>
  </si>
  <si>
    <t>understand wich is the right DTS for seasoning requirements</t>
  </si>
  <si>
    <t>Comments 07/10 &amp; 07/12</t>
  </si>
  <si>
    <t>1) check by sim the Idel versus Von; 2) check for Es trials the correlation between Von and Idel 3) collect IV on 7.64</t>
  </si>
  <si>
    <t>check numbers after having bias conditions clarified by DT sim</t>
  </si>
  <si>
    <t>This can be worse due to capacitance increase. Projection still missing. DT help needed for RD simulations</t>
  </si>
  <si>
    <t>4X scaling facot in capability envisioned</t>
  </si>
  <si>
    <t>DK to understand with Kiran if there would be better metrics for Vt change during seasoning and device life</t>
  </si>
  <si>
    <t>constant voltage scaling is an assumption at this stage. Check on silicon needed.</t>
  </si>
  <si>
    <t>check WSiN thickness trial on S15 experiments</t>
  </si>
  <si>
    <t>check with Dany on cap calculations</t>
  </si>
  <si>
    <t>check the meaning of those row with Koushik and then decide which metric to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</si>
</sst>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E+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1"/>
      <name val="Arial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9.9"/>
      <color theme="1"/>
      <name val="Verdana"/>
      <family val="2"/>
    </font>
    <font>
      <b/>
      <sz val="11"/>
      <name val="Arial"/>
      <family val="2"/>
    </font>
    <font>
      <b/>
      <sz val="11"/>
      <color theme="1"/>
      <name val="Verdana"/>
      <family val="2"/>
    </font>
    <font>
      <b/>
      <u/>
      <sz val="1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Verdana"/>
      <family val="2"/>
    </font>
    <font>
      <sz val="8"/>
      <color theme="1"/>
      <name val="Calibri"/>
      <family val="2"/>
      <scheme val="minor"/>
    </font>
    <font>
      <u/>
      <sz val="1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FF0000"/>
      <name val="Verdana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top"/>
    </xf>
    <xf numFmtId="0" fontId="4" fillId="0" borderId="0" xfId="4" applyFont="1" applyFill="1" applyBorder="1" applyAlignment="1">
      <alignment vertical="top"/>
    </xf>
    <xf numFmtId="0" fontId="0" fillId="0" borderId="0" xfId="0" applyFill="1"/>
    <xf numFmtId="0" fontId="3" fillId="3" borderId="1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vertical="top" wrapText="1"/>
    </xf>
    <xf numFmtId="0" fontId="10" fillId="3" borderId="1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top" wrapText="1"/>
    </xf>
    <xf numFmtId="0" fontId="4" fillId="0" borderId="1" xfId="4" applyFont="1" applyFill="1" applyBorder="1" applyAlignment="1">
      <alignment vertical="top"/>
    </xf>
    <xf numFmtId="0" fontId="6" fillId="2" borderId="1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top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0" fillId="0" borderId="0" xfId="0"/>
    <xf numFmtId="0" fontId="4" fillId="0" borderId="0" xfId="4" applyFont="1" applyFill="1" applyAlignment="1">
      <alignment vertical="top"/>
    </xf>
    <xf numFmtId="0" fontId="4" fillId="0" borderId="0" xfId="4" applyFont="1" applyFill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1" fontId="6" fillId="2" borderId="1" xfId="4" applyNumberFormat="1" applyFont="1" applyFill="1" applyBorder="1" applyAlignment="1">
      <alignment horizontal="center" vertical="center" wrapText="1"/>
    </xf>
    <xf numFmtId="0" fontId="6" fillId="2" borderId="1" xfId="4" quotePrefix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vertical="top"/>
    </xf>
    <xf numFmtId="0" fontId="13" fillId="2" borderId="1" xfId="4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11" fontId="0" fillId="0" borderId="5" xfId="0" applyNumberFormat="1" applyBorder="1" applyAlignment="1">
      <alignment wrapText="1"/>
    </xf>
    <xf numFmtId="11" fontId="0" fillId="0" borderId="1" xfId="0" applyNumberFormat="1" applyBorder="1" applyAlignment="1">
      <alignment wrapText="1"/>
    </xf>
    <xf numFmtId="11" fontId="0" fillId="0" borderId="2" xfId="0" applyNumberForma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6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0" fillId="7" borderId="0" xfId="0" applyFill="1"/>
    <xf numFmtId="0" fontId="0" fillId="6" borderId="0" xfId="0" applyFill="1"/>
    <xf numFmtId="0" fontId="0" fillId="4" borderId="0" xfId="0" applyFill="1"/>
    <xf numFmtId="0" fontId="0" fillId="10" borderId="0" xfId="0" applyFill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11" borderId="0" xfId="0" applyFill="1"/>
    <xf numFmtId="0" fontId="0" fillId="0" borderId="0" xfId="0" quotePrefix="1"/>
    <xf numFmtId="0" fontId="18" fillId="0" borderId="0" xfId="0" applyFont="1" applyFill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0" xfId="0" quotePrefix="1" applyBorder="1"/>
    <xf numFmtId="0" fontId="0" fillId="0" borderId="0" xfId="0" applyBorder="1"/>
    <xf numFmtId="0" fontId="6" fillId="0" borderId="1" xfId="4" quotePrefix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2" xfId="0" applyBorder="1"/>
    <xf numFmtId="0" fontId="5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11" fontId="5" fillId="2" borderId="1" xfId="4" applyNumberFormat="1" applyFont="1" applyFill="1" applyBorder="1" applyAlignment="1">
      <alignment horizontal="center" vertical="center" wrapText="1"/>
    </xf>
    <xf numFmtId="0" fontId="5" fillId="2" borderId="1" xfId="4" quotePrefix="1" applyFont="1" applyFill="1" applyBorder="1" applyAlignment="1">
      <alignment horizontal="center" vertical="center" wrapText="1"/>
    </xf>
    <xf numFmtId="11" fontId="5" fillId="0" borderId="1" xfId="4" applyNumberFormat="1" applyFont="1" applyFill="1" applyBorder="1" applyAlignment="1">
      <alignment horizontal="center" vertical="center" wrapText="1"/>
    </xf>
    <xf numFmtId="0" fontId="5" fillId="0" borderId="1" xfId="4" quotePrefix="1" applyFont="1" applyFill="1" applyBorder="1" applyAlignment="1">
      <alignment horizontal="center" vertical="center" wrapText="1"/>
    </xf>
    <xf numFmtId="0" fontId="5" fillId="0" borderId="1" xfId="4" quotePrefix="1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12" fillId="2" borderId="1" xfId="4" quotePrefix="1" applyFont="1" applyFill="1" applyBorder="1" applyAlignment="1">
      <alignment horizontal="center" vertical="center" wrapText="1"/>
    </xf>
    <xf numFmtId="11" fontId="12" fillId="2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1" fontId="12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4" quotePrefix="1" applyFont="1" applyFill="1" applyBorder="1" applyAlignment="1">
      <alignment horizontal="center" vertical="center" wrapText="1"/>
    </xf>
    <xf numFmtId="0" fontId="12" fillId="0" borderId="1" xfId="4" quotePrefix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vertical="top" wrapText="1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5" fillId="6" borderId="1" xfId="4" quotePrefix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8">
    <cellStyle name="Comma 2" xfId="2"/>
    <cellStyle name="Comma 3" xfId="3"/>
    <cellStyle name="Normal" xfId="0" builtinId="0"/>
    <cellStyle name="Normal 2" xfId="1"/>
    <cellStyle name="Normal 3" xfId="4"/>
    <cellStyle name="Normal 3 2" xfId="5"/>
    <cellStyle name="Percent 2" xfId="6"/>
    <cellStyle name="Percent 3" xfId="7"/>
  </cellStyles>
  <dxfs count="16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3" tint="0.7999816888943144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1" defaultTableStyle="TableStyleMedium9" defaultPivotStyle="PivotStyleLight16">
    <tableStyle name="NSGDEDEFAULT" pivot="0" count="3">
      <tableStyleElement type="headerRow" dxfId="15"/>
      <tableStyleElement type="firstRowStripe" dxfId="14"/>
      <tableStyleElement type="secondRowStripe" dxfId="13"/>
    </tableStyle>
  </tableStyles>
  <colors>
    <mruColors>
      <color rgb="FFCC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F4:H51" totalsRowShown="0" headerRowBorderDxfId="12" tableBorderDxfId="11" totalsRowBorderDxfId="10">
  <autoFilter ref="F4:H51">
    <filterColumn colId="0" hiddenButton="1"/>
    <filterColumn colId="1" hiddenButton="1"/>
    <filterColumn colId="2" hiddenButton="1"/>
  </autoFilter>
  <tableColumns count="3">
    <tableColumn id="1" name="Column1" dataDxfId="9"/>
    <tableColumn id="2" name="20s POR" dataDxfId="8"/>
    <tableColumn id="3" name="20s Lower Vt" dataDxfId="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5" displayName="Table5" ref="I4:L51" totalsRowShown="0" headerRowDxfId="6" headerRowBorderDxfId="5" tableBorderDxfId="4" totalsRowBorderDxfId="3">
  <tableColumns count="4">
    <tableColumn id="1" name="30 Series 4Kx4K  1/2 leakage as 20s" dataDxfId="2"/>
    <tableColumn id="2" name="30 Series 4Kx8K 1/2 leakage as 20s" dataDxfId="1"/>
    <tableColumn id="3" name="30 Series 4Kx8K 10x lower leakage as 20s" dataDxfId="0"/>
    <tableColumn id="4" name="31 Series 4Kx8K 10x lower leakage as 20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3"/>
  <sheetViews>
    <sheetView tabSelected="1" zoomScale="80" zoomScaleNormal="80" workbookViewId="0">
      <pane xSplit="1" ySplit="1" topLeftCell="D97" activePane="bottomRight" state="frozen"/>
      <selection pane="topRight" activeCell="D1" sqref="D1"/>
      <selection pane="bottomLeft" activeCell="A2" sqref="A2"/>
      <selection pane="bottomRight" activeCell="F97" sqref="F97"/>
    </sheetView>
  </sheetViews>
  <sheetFormatPr defaultColWidth="8.85546875" defaultRowHeight="15" x14ac:dyDescent="0.25"/>
  <cols>
    <col min="1" max="1" width="64.85546875" style="3" customWidth="1"/>
    <col min="2" max="2" width="31.42578125" style="23" customWidth="1"/>
    <col min="3" max="3" width="35.5703125" style="13" customWidth="1"/>
    <col min="4" max="4" width="37.7109375" style="29" bestFit="1" customWidth="1"/>
    <col min="5" max="5" width="84.28515625" style="4" customWidth="1"/>
    <col min="6" max="6" width="41.5703125" style="4" customWidth="1"/>
    <col min="7" max="7" width="13.85546875" style="4" bestFit="1" customWidth="1"/>
    <col min="8" max="20" width="8.85546875" style="4"/>
    <col min="21" max="31" width="8.85546875" style="6"/>
    <col min="32" max="237" width="8.85546875" style="4"/>
    <col min="238" max="238" width="2.7109375" style="4" customWidth="1"/>
    <col min="239" max="239" width="36.42578125" style="4" customWidth="1"/>
    <col min="240" max="240" width="11" style="4" customWidth="1"/>
    <col min="241" max="241" width="4.85546875" style="4" customWidth="1"/>
    <col min="242" max="242" width="12.5703125" style="4" customWidth="1"/>
    <col min="243" max="243" width="9.28515625" style="4" bestFit="1" customWidth="1"/>
    <col min="244" max="244" width="13.140625" style="4" customWidth="1"/>
    <col min="245" max="245" width="38.140625" style="4" customWidth="1"/>
    <col min="246" max="246" width="32.28515625" style="4" bestFit="1" customWidth="1"/>
    <col min="247" max="247" width="41" style="4" customWidth="1"/>
    <col min="248" max="248" width="11.85546875" style="4" customWidth="1"/>
    <col min="249" max="493" width="8.85546875" style="4"/>
    <col min="494" max="494" width="2.7109375" style="4" customWidth="1"/>
    <col min="495" max="495" width="36.42578125" style="4" customWidth="1"/>
    <col min="496" max="496" width="11" style="4" customWidth="1"/>
    <col min="497" max="497" width="4.85546875" style="4" customWidth="1"/>
    <col min="498" max="498" width="12.5703125" style="4" customWidth="1"/>
    <col min="499" max="499" width="9.28515625" style="4" bestFit="1" customWidth="1"/>
    <col min="500" max="500" width="13.140625" style="4" customWidth="1"/>
    <col min="501" max="501" width="38.140625" style="4" customWidth="1"/>
    <col min="502" max="502" width="32.28515625" style="4" bestFit="1" customWidth="1"/>
    <col min="503" max="503" width="41" style="4" customWidth="1"/>
    <col min="504" max="504" width="11.85546875" style="4" customWidth="1"/>
    <col min="505" max="749" width="8.85546875" style="4"/>
    <col min="750" max="750" width="2.7109375" style="4" customWidth="1"/>
    <col min="751" max="751" width="36.42578125" style="4" customWidth="1"/>
    <col min="752" max="752" width="11" style="4" customWidth="1"/>
    <col min="753" max="753" width="4.85546875" style="4" customWidth="1"/>
    <col min="754" max="754" width="12.5703125" style="4" customWidth="1"/>
    <col min="755" max="755" width="9.28515625" style="4" bestFit="1" customWidth="1"/>
    <col min="756" max="756" width="13.140625" style="4" customWidth="1"/>
    <col min="757" max="757" width="38.140625" style="4" customWidth="1"/>
    <col min="758" max="758" width="32.28515625" style="4" bestFit="1" customWidth="1"/>
    <col min="759" max="759" width="41" style="4" customWidth="1"/>
    <col min="760" max="760" width="11.85546875" style="4" customWidth="1"/>
    <col min="761" max="1005" width="8.85546875" style="4"/>
    <col min="1006" max="1006" width="2.7109375" style="4" customWidth="1"/>
    <col min="1007" max="1007" width="36.42578125" style="4" customWidth="1"/>
    <col min="1008" max="1008" width="11" style="4" customWidth="1"/>
    <col min="1009" max="1009" width="4.85546875" style="4" customWidth="1"/>
    <col min="1010" max="1010" width="12.5703125" style="4" customWidth="1"/>
    <col min="1011" max="1011" width="9.28515625" style="4" bestFit="1" customWidth="1"/>
    <col min="1012" max="1012" width="13.140625" style="4" customWidth="1"/>
    <col min="1013" max="1013" width="38.140625" style="4" customWidth="1"/>
    <col min="1014" max="1014" width="32.28515625" style="4" bestFit="1" customWidth="1"/>
    <col min="1015" max="1015" width="41" style="4" customWidth="1"/>
    <col min="1016" max="1016" width="11.85546875" style="4" customWidth="1"/>
    <col min="1017" max="1261" width="8.85546875" style="4"/>
    <col min="1262" max="1262" width="2.7109375" style="4" customWidth="1"/>
    <col min="1263" max="1263" width="36.42578125" style="4" customWidth="1"/>
    <col min="1264" max="1264" width="11" style="4" customWidth="1"/>
    <col min="1265" max="1265" width="4.85546875" style="4" customWidth="1"/>
    <col min="1266" max="1266" width="12.5703125" style="4" customWidth="1"/>
    <col min="1267" max="1267" width="9.28515625" style="4" bestFit="1" customWidth="1"/>
    <col min="1268" max="1268" width="13.140625" style="4" customWidth="1"/>
    <col min="1269" max="1269" width="38.140625" style="4" customWidth="1"/>
    <col min="1270" max="1270" width="32.28515625" style="4" bestFit="1" customWidth="1"/>
    <col min="1271" max="1271" width="41" style="4" customWidth="1"/>
    <col min="1272" max="1272" width="11.85546875" style="4" customWidth="1"/>
    <col min="1273" max="1517" width="8.85546875" style="4"/>
    <col min="1518" max="1518" width="2.7109375" style="4" customWidth="1"/>
    <col min="1519" max="1519" width="36.42578125" style="4" customWidth="1"/>
    <col min="1520" max="1520" width="11" style="4" customWidth="1"/>
    <col min="1521" max="1521" width="4.85546875" style="4" customWidth="1"/>
    <col min="1522" max="1522" width="12.5703125" style="4" customWidth="1"/>
    <col min="1523" max="1523" width="9.28515625" style="4" bestFit="1" customWidth="1"/>
    <col min="1524" max="1524" width="13.140625" style="4" customWidth="1"/>
    <col min="1525" max="1525" width="38.140625" style="4" customWidth="1"/>
    <col min="1526" max="1526" width="32.28515625" style="4" bestFit="1" customWidth="1"/>
    <col min="1527" max="1527" width="41" style="4" customWidth="1"/>
    <col min="1528" max="1528" width="11.85546875" style="4" customWidth="1"/>
    <col min="1529" max="1773" width="8.85546875" style="4"/>
    <col min="1774" max="1774" width="2.7109375" style="4" customWidth="1"/>
    <col min="1775" max="1775" width="36.42578125" style="4" customWidth="1"/>
    <col min="1776" max="1776" width="11" style="4" customWidth="1"/>
    <col min="1777" max="1777" width="4.85546875" style="4" customWidth="1"/>
    <col min="1778" max="1778" width="12.5703125" style="4" customWidth="1"/>
    <col min="1779" max="1779" width="9.28515625" style="4" bestFit="1" customWidth="1"/>
    <col min="1780" max="1780" width="13.140625" style="4" customWidth="1"/>
    <col min="1781" max="1781" width="38.140625" style="4" customWidth="1"/>
    <col min="1782" max="1782" width="32.28515625" style="4" bestFit="1" customWidth="1"/>
    <col min="1783" max="1783" width="41" style="4" customWidth="1"/>
    <col min="1784" max="1784" width="11.85546875" style="4" customWidth="1"/>
    <col min="1785" max="2029" width="8.85546875" style="4"/>
    <col min="2030" max="2030" width="2.7109375" style="4" customWidth="1"/>
    <col min="2031" max="2031" width="36.42578125" style="4" customWidth="1"/>
    <col min="2032" max="2032" width="11" style="4" customWidth="1"/>
    <col min="2033" max="2033" width="4.85546875" style="4" customWidth="1"/>
    <col min="2034" max="2034" width="12.5703125" style="4" customWidth="1"/>
    <col min="2035" max="2035" width="9.28515625" style="4" bestFit="1" customWidth="1"/>
    <col min="2036" max="2036" width="13.140625" style="4" customWidth="1"/>
    <col min="2037" max="2037" width="38.140625" style="4" customWidth="1"/>
    <col min="2038" max="2038" width="32.28515625" style="4" bestFit="1" customWidth="1"/>
    <col min="2039" max="2039" width="41" style="4" customWidth="1"/>
    <col min="2040" max="2040" width="11.85546875" style="4" customWidth="1"/>
    <col min="2041" max="2285" width="8.85546875" style="4"/>
    <col min="2286" max="2286" width="2.7109375" style="4" customWidth="1"/>
    <col min="2287" max="2287" width="36.42578125" style="4" customWidth="1"/>
    <col min="2288" max="2288" width="11" style="4" customWidth="1"/>
    <col min="2289" max="2289" width="4.85546875" style="4" customWidth="1"/>
    <col min="2290" max="2290" width="12.5703125" style="4" customWidth="1"/>
    <col min="2291" max="2291" width="9.28515625" style="4" bestFit="1" customWidth="1"/>
    <col min="2292" max="2292" width="13.140625" style="4" customWidth="1"/>
    <col min="2293" max="2293" width="38.140625" style="4" customWidth="1"/>
    <col min="2294" max="2294" width="32.28515625" style="4" bestFit="1" customWidth="1"/>
    <col min="2295" max="2295" width="41" style="4" customWidth="1"/>
    <col min="2296" max="2296" width="11.85546875" style="4" customWidth="1"/>
    <col min="2297" max="2541" width="8.85546875" style="4"/>
    <col min="2542" max="2542" width="2.7109375" style="4" customWidth="1"/>
    <col min="2543" max="2543" width="36.42578125" style="4" customWidth="1"/>
    <col min="2544" max="2544" width="11" style="4" customWidth="1"/>
    <col min="2545" max="2545" width="4.85546875" style="4" customWidth="1"/>
    <col min="2546" max="2546" width="12.5703125" style="4" customWidth="1"/>
    <col min="2547" max="2547" width="9.28515625" style="4" bestFit="1" customWidth="1"/>
    <col min="2548" max="2548" width="13.140625" style="4" customWidth="1"/>
    <col min="2549" max="2549" width="38.140625" style="4" customWidth="1"/>
    <col min="2550" max="2550" width="32.28515625" style="4" bestFit="1" customWidth="1"/>
    <col min="2551" max="2551" width="41" style="4" customWidth="1"/>
    <col min="2552" max="2552" width="11.85546875" style="4" customWidth="1"/>
    <col min="2553" max="2797" width="8.85546875" style="4"/>
    <col min="2798" max="2798" width="2.7109375" style="4" customWidth="1"/>
    <col min="2799" max="2799" width="36.42578125" style="4" customWidth="1"/>
    <col min="2800" max="2800" width="11" style="4" customWidth="1"/>
    <col min="2801" max="2801" width="4.85546875" style="4" customWidth="1"/>
    <col min="2802" max="2802" width="12.5703125" style="4" customWidth="1"/>
    <col min="2803" max="2803" width="9.28515625" style="4" bestFit="1" customWidth="1"/>
    <col min="2804" max="2804" width="13.140625" style="4" customWidth="1"/>
    <col min="2805" max="2805" width="38.140625" style="4" customWidth="1"/>
    <col min="2806" max="2806" width="32.28515625" style="4" bestFit="1" customWidth="1"/>
    <col min="2807" max="2807" width="41" style="4" customWidth="1"/>
    <col min="2808" max="2808" width="11.85546875" style="4" customWidth="1"/>
    <col min="2809" max="3053" width="8.85546875" style="4"/>
    <col min="3054" max="3054" width="2.7109375" style="4" customWidth="1"/>
    <col min="3055" max="3055" width="36.42578125" style="4" customWidth="1"/>
    <col min="3056" max="3056" width="11" style="4" customWidth="1"/>
    <col min="3057" max="3057" width="4.85546875" style="4" customWidth="1"/>
    <col min="3058" max="3058" width="12.5703125" style="4" customWidth="1"/>
    <col min="3059" max="3059" width="9.28515625" style="4" bestFit="1" customWidth="1"/>
    <col min="3060" max="3060" width="13.140625" style="4" customWidth="1"/>
    <col min="3061" max="3061" width="38.140625" style="4" customWidth="1"/>
    <col min="3062" max="3062" width="32.28515625" style="4" bestFit="1" customWidth="1"/>
    <col min="3063" max="3063" width="41" style="4" customWidth="1"/>
    <col min="3064" max="3064" width="11.85546875" style="4" customWidth="1"/>
    <col min="3065" max="3309" width="8.85546875" style="4"/>
    <col min="3310" max="3310" width="2.7109375" style="4" customWidth="1"/>
    <col min="3311" max="3311" width="36.42578125" style="4" customWidth="1"/>
    <col min="3312" max="3312" width="11" style="4" customWidth="1"/>
    <col min="3313" max="3313" width="4.85546875" style="4" customWidth="1"/>
    <col min="3314" max="3314" width="12.5703125" style="4" customWidth="1"/>
    <col min="3315" max="3315" width="9.28515625" style="4" bestFit="1" customWidth="1"/>
    <col min="3316" max="3316" width="13.140625" style="4" customWidth="1"/>
    <col min="3317" max="3317" width="38.140625" style="4" customWidth="1"/>
    <col min="3318" max="3318" width="32.28515625" style="4" bestFit="1" customWidth="1"/>
    <col min="3319" max="3319" width="41" style="4" customWidth="1"/>
    <col min="3320" max="3320" width="11.85546875" style="4" customWidth="1"/>
    <col min="3321" max="3565" width="8.85546875" style="4"/>
    <col min="3566" max="3566" width="2.7109375" style="4" customWidth="1"/>
    <col min="3567" max="3567" width="36.42578125" style="4" customWidth="1"/>
    <col min="3568" max="3568" width="11" style="4" customWidth="1"/>
    <col min="3569" max="3569" width="4.85546875" style="4" customWidth="1"/>
    <col min="3570" max="3570" width="12.5703125" style="4" customWidth="1"/>
    <col min="3571" max="3571" width="9.28515625" style="4" bestFit="1" customWidth="1"/>
    <col min="3572" max="3572" width="13.140625" style="4" customWidth="1"/>
    <col min="3573" max="3573" width="38.140625" style="4" customWidth="1"/>
    <col min="3574" max="3574" width="32.28515625" style="4" bestFit="1" customWidth="1"/>
    <col min="3575" max="3575" width="41" style="4" customWidth="1"/>
    <col min="3576" max="3576" width="11.85546875" style="4" customWidth="1"/>
    <col min="3577" max="3821" width="8.85546875" style="4"/>
    <col min="3822" max="3822" width="2.7109375" style="4" customWidth="1"/>
    <col min="3823" max="3823" width="36.42578125" style="4" customWidth="1"/>
    <col min="3824" max="3824" width="11" style="4" customWidth="1"/>
    <col min="3825" max="3825" width="4.85546875" style="4" customWidth="1"/>
    <col min="3826" max="3826" width="12.5703125" style="4" customWidth="1"/>
    <col min="3827" max="3827" width="9.28515625" style="4" bestFit="1" customWidth="1"/>
    <col min="3828" max="3828" width="13.140625" style="4" customWidth="1"/>
    <col min="3829" max="3829" width="38.140625" style="4" customWidth="1"/>
    <col min="3830" max="3830" width="32.28515625" style="4" bestFit="1" customWidth="1"/>
    <col min="3831" max="3831" width="41" style="4" customWidth="1"/>
    <col min="3832" max="3832" width="11.85546875" style="4" customWidth="1"/>
    <col min="3833" max="4077" width="8.85546875" style="4"/>
    <col min="4078" max="4078" width="2.7109375" style="4" customWidth="1"/>
    <col min="4079" max="4079" width="36.42578125" style="4" customWidth="1"/>
    <col min="4080" max="4080" width="11" style="4" customWidth="1"/>
    <col min="4081" max="4081" width="4.85546875" style="4" customWidth="1"/>
    <col min="4082" max="4082" width="12.5703125" style="4" customWidth="1"/>
    <col min="4083" max="4083" width="9.28515625" style="4" bestFit="1" customWidth="1"/>
    <col min="4084" max="4084" width="13.140625" style="4" customWidth="1"/>
    <col min="4085" max="4085" width="38.140625" style="4" customWidth="1"/>
    <col min="4086" max="4086" width="32.28515625" style="4" bestFit="1" customWidth="1"/>
    <col min="4087" max="4087" width="41" style="4" customWidth="1"/>
    <col min="4088" max="4088" width="11.85546875" style="4" customWidth="1"/>
    <col min="4089" max="4333" width="8.85546875" style="4"/>
    <col min="4334" max="4334" width="2.7109375" style="4" customWidth="1"/>
    <col min="4335" max="4335" width="36.42578125" style="4" customWidth="1"/>
    <col min="4336" max="4336" width="11" style="4" customWidth="1"/>
    <col min="4337" max="4337" width="4.85546875" style="4" customWidth="1"/>
    <col min="4338" max="4338" width="12.5703125" style="4" customWidth="1"/>
    <col min="4339" max="4339" width="9.28515625" style="4" bestFit="1" customWidth="1"/>
    <col min="4340" max="4340" width="13.140625" style="4" customWidth="1"/>
    <col min="4341" max="4341" width="38.140625" style="4" customWidth="1"/>
    <col min="4342" max="4342" width="32.28515625" style="4" bestFit="1" customWidth="1"/>
    <col min="4343" max="4343" width="41" style="4" customWidth="1"/>
    <col min="4344" max="4344" width="11.85546875" style="4" customWidth="1"/>
    <col min="4345" max="4589" width="8.85546875" style="4"/>
    <col min="4590" max="4590" width="2.7109375" style="4" customWidth="1"/>
    <col min="4591" max="4591" width="36.42578125" style="4" customWidth="1"/>
    <col min="4592" max="4592" width="11" style="4" customWidth="1"/>
    <col min="4593" max="4593" width="4.85546875" style="4" customWidth="1"/>
    <col min="4594" max="4594" width="12.5703125" style="4" customWidth="1"/>
    <col min="4595" max="4595" width="9.28515625" style="4" bestFit="1" customWidth="1"/>
    <col min="4596" max="4596" width="13.140625" style="4" customWidth="1"/>
    <col min="4597" max="4597" width="38.140625" style="4" customWidth="1"/>
    <col min="4598" max="4598" width="32.28515625" style="4" bestFit="1" customWidth="1"/>
    <col min="4599" max="4599" width="41" style="4" customWidth="1"/>
    <col min="4600" max="4600" width="11.85546875" style="4" customWidth="1"/>
    <col min="4601" max="4845" width="8.85546875" style="4"/>
    <col min="4846" max="4846" width="2.7109375" style="4" customWidth="1"/>
    <col min="4847" max="4847" width="36.42578125" style="4" customWidth="1"/>
    <col min="4848" max="4848" width="11" style="4" customWidth="1"/>
    <col min="4849" max="4849" width="4.85546875" style="4" customWidth="1"/>
    <col min="4850" max="4850" width="12.5703125" style="4" customWidth="1"/>
    <col min="4851" max="4851" width="9.28515625" style="4" bestFit="1" customWidth="1"/>
    <col min="4852" max="4852" width="13.140625" style="4" customWidth="1"/>
    <col min="4853" max="4853" width="38.140625" style="4" customWidth="1"/>
    <col min="4854" max="4854" width="32.28515625" style="4" bestFit="1" customWidth="1"/>
    <col min="4855" max="4855" width="41" style="4" customWidth="1"/>
    <col min="4856" max="4856" width="11.85546875" style="4" customWidth="1"/>
    <col min="4857" max="5101" width="8.85546875" style="4"/>
    <col min="5102" max="5102" width="2.7109375" style="4" customWidth="1"/>
    <col min="5103" max="5103" width="36.42578125" style="4" customWidth="1"/>
    <col min="5104" max="5104" width="11" style="4" customWidth="1"/>
    <col min="5105" max="5105" width="4.85546875" style="4" customWidth="1"/>
    <col min="5106" max="5106" width="12.5703125" style="4" customWidth="1"/>
    <col min="5107" max="5107" width="9.28515625" style="4" bestFit="1" customWidth="1"/>
    <col min="5108" max="5108" width="13.140625" style="4" customWidth="1"/>
    <col min="5109" max="5109" width="38.140625" style="4" customWidth="1"/>
    <col min="5110" max="5110" width="32.28515625" style="4" bestFit="1" customWidth="1"/>
    <col min="5111" max="5111" width="41" style="4" customWidth="1"/>
    <col min="5112" max="5112" width="11.85546875" style="4" customWidth="1"/>
    <col min="5113" max="5357" width="8.85546875" style="4"/>
    <col min="5358" max="5358" width="2.7109375" style="4" customWidth="1"/>
    <col min="5359" max="5359" width="36.42578125" style="4" customWidth="1"/>
    <col min="5360" max="5360" width="11" style="4" customWidth="1"/>
    <col min="5361" max="5361" width="4.85546875" style="4" customWidth="1"/>
    <col min="5362" max="5362" width="12.5703125" style="4" customWidth="1"/>
    <col min="5363" max="5363" width="9.28515625" style="4" bestFit="1" customWidth="1"/>
    <col min="5364" max="5364" width="13.140625" style="4" customWidth="1"/>
    <col min="5365" max="5365" width="38.140625" style="4" customWidth="1"/>
    <col min="5366" max="5366" width="32.28515625" style="4" bestFit="1" customWidth="1"/>
    <col min="5367" max="5367" width="41" style="4" customWidth="1"/>
    <col min="5368" max="5368" width="11.85546875" style="4" customWidth="1"/>
    <col min="5369" max="5613" width="8.85546875" style="4"/>
    <col min="5614" max="5614" width="2.7109375" style="4" customWidth="1"/>
    <col min="5615" max="5615" width="36.42578125" style="4" customWidth="1"/>
    <col min="5616" max="5616" width="11" style="4" customWidth="1"/>
    <col min="5617" max="5617" width="4.85546875" style="4" customWidth="1"/>
    <col min="5618" max="5618" width="12.5703125" style="4" customWidth="1"/>
    <col min="5619" max="5619" width="9.28515625" style="4" bestFit="1" customWidth="1"/>
    <col min="5620" max="5620" width="13.140625" style="4" customWidth="1"/>
    <col min="5621" max="5621" width="38.140625" style="4" customWidth="1"/>
    <col min="5622" max="5622" width="32.28515625" style="4" bestFit="1" customWidth="1"/>
    <col min="5623" max="5623" width="41" style="4" customWidth="1"/>
    <col min="5624" max="5624" width="11.85546875" style="4" customWidth="1"/>
    <col min="5625" max="5869" width="8.85546875" style="4"/>
    <col min="5870" max="5870" width="2.7109375" style="4" customWidth="1"/>
    <col min="5871" max="5871" width="36.42578125" style="4" customWidth="1"/>
    <col min="5872" max="5872" width="11" style="4" customWidth="1"/>
    <col min="5873" max="5873" width="4.85546875" style="4" customWidth="1"/>
    <col min="5874" max="5874" width="12.5703125" style="4" customWidth="1"/>
    <col min="5875" max="5875" width="9.28515625" style="4" bestFit="1" customWidth="1"/>
    <col min="5876" max="5876" width="13.140625" style="4" customWidth="1"/>
    <col min="5877" max="5877" width="38.140625" style="4" customWidth="1"/>
    <col min="5878" max="5878" width="32.28515625" style="4" bestFit="1" customWidth="1"/>
    <col min="5879" max="5879" width="41" style="4" customWidth="1"/>
    <col min="5880" max="5880" width="11.85546875" style="4" customWidth="1"/>
    <col min="5881" max="6125" width="8.85546875" style="4"/>
    <col min="6126" max="6126" width="2.7109375" style="4" customWidth="1"/>
    <col min="6127" max="6127" width="36.42578125" style="4" customWidth="1"/>
    <col min="6128" max="6128" width="11" style="4" customWidth="1"/>
    <col min="6129" max="6129" width="4.85546875" style="4" customWidth="1"/>
    <col min="6130" max="6130" width="12.5703125" style="4" customWidth="1"/>
    <col min="6131" max="6131" width="9.28515625" style="4" bestFit="1" customWidth="1"/>
    <col min="6132" max="6132" width="13.140625" style="4" customWidth="1"/>
    <col min="6133" max="6133" width="38.140625" style="4" customWidth="1"/>
    <col min="6134" max="6134" width="32.28515625" style="4" bestFit="1" customWidth="1"/>
    <col min="6135" max="6135" width="41" style="4" customWidth="1"/>
    <col min="6136" max="6136" width="11.85546875" style="4" customWidth="1"/>
    <col min="6137" max="6381" width="8.85546875" style="4"/>
    <col min="6382" max="6382" width="2.7109375" style="4" customWidth="1"/>
    <col min="6383" max="6383" width="36.42578125" style="4" customWidth="1"/>
    <col min="6384" max="6384" width="11" style="4" customWidth="1"/>
    <col min="6385" max="6385" width="4.85546875" style="4" customWidth="1"/>
    <col min="6386" max="6386" width="12.5703125" style="4" customWidth="1"/>
    <col min="6387" max="6387" width="9.28515625" style="4" bestFit="1" customWidth="1"/>
    <col min="6388" max="6388" width="13.140625" style="4" customWidth="1"/>
    <col min="6389" max="6389" width="38.140625" style="4" customWidth="1"/>
    <col min="6390" max="6390" width="32.28515625" style="4" bestFit="1" customWidth="1"/>
    <col min="6391" max="6391" width="41" style="4" customWidth="1"/>
    <col min="6392" max="6392" width="11.85546875" style="4" customWidth="1"/>
    <col min="6393" max="6637" width="8.85546875" style="4"/>
    <col min="6638" max="6638" width="2.7109375" style="4" customWidth="1"/>
    <col min="6639" max="6639" width="36.42578125" style="4" customWidth="1"/>
    <col min="6640" max="6640" width="11" style="4" customWidth="1"/>
    <col min="6641" max="6641" width="4.85546875" style="4" customWidth="1"/>
    <col min="6642" max="6642" width="12.5703125" style="4" customWidth="1"/>
    <col min="6643" max="6643" width="9.28515625" style="4" bestFit="1" customWidth="1"/>
    <col min="6644" max="6644" width="13.140625" style="4" customWidth="1"/>
    <col min="6645" max="6645" width="38.140625" style="4" customWidth="1"/>
    <col min="6646" max="6646" width="32.28515625" style="4" bestFit="1" customWidth="1"/>
    <col min="6647" max="6647" width="41" style="4" customWidth="1"/>
    <col min="6648" max="6648" width="11.85546875" style="4" customWidth="1"/>
    <col min="6649" max="6893" width="8.85546875" style="4"/>
    <col min="6894" max="6894" width="2.7109375" style="4" customWidth="1"/>
    <col min="6895" max="6895" width="36.42578125" style="4" customWidth="1"/>
    <col min="6896" max="6896" width="11" style="4" customWidth="1"/>
    <col min="6897" max="6897" width="4.85546875" style="4" customWidth="1"/>
    <col min="6898" max="6898" width="12.5703125" style="4" customWidth="1"/>
    <col min="6899" max="6899" width="9.28515625" style="4" bestFit="1" customWidth="1"/>
    <col min="6900" max="6900" width="13.140625" style="4" customWidth="1"/>
    <col min="6901" max="6901" width="38.140625" style="4" customWidth="1"/>
    <col min="6902" max="6902" width="32.28515625" style="4" bestFit="1" customWidth="1"/>
    <col min="6903" max="6903" width="41" style="4" customWidth="1"/>
    <col min="6904" max="6904" width="11.85546875" style="4" customWidth="1"/>
    <col min="6905" max="7149" width="8.85546875" style="4"/>
    <col min="7150" max="7150" width="2.7109375" style="4" customWidth="1"/>
    <col min="7151" max="7151" width="36.42578125" style="4" customWidth="1"/>
    <col min="7152" max="7152" width="11" style="4" customWidth="1"/>
    <col min="7153" max="7153" width="4.85546875" style="4" customWidth="1"/>
    <col min="7154" max="7154" width="12.5703125" style="4" customWidth="1"/>
    <col min="7155" max="7155" width="9.28515625" style="4" bestFit="1" customWidth="1"/>
    <col min="7156" max="7156" width="13.140625" style="4" customWidth="1"/>
    <col min="7157" max="7157" width="38.140625" style="4" customWidth="1"/>
    <col min="7158" max="7158" width="32.28515625" style="4" bestFit="1" customWidth="1"/>
    <col min="7159" max="7159" width="41" style="4" customWidth="1"/>
    <col min="7160" max="7160" width="11.85546875" style="4" customWidth="1"/>
    <col min="7161" max="7405" width="8.85546875" style="4"/>
    <col min="7406" max="7406" width="2.7109375" style="4" customWidth="1"/>
    <col min="7407" max="7407" width="36.42578125" style="4" customWidth="1"/>
    <col min="7408" max="7408" width="11" style="4" customWidth="1"/>
    <col min="7409" max="7409" width="4.85546875" style="4" customWidth="1"/>
    <col min="7410" max="7410" width="12.5703125" style="4" customWidth="1"/>
    <col min="7411" max="7411" width="9.28515625" style="4" bestFit="1" customWidth="1"/>
    <col min="7412" max="7412" width="13.140625" style="4" customWidth="1"/>
    <col min="7413" max="7413" width="38.140625" style="4" customWidth="1"/>
    <col min="7414" max="7414" width="32.28515625" style="4" bestFit="1" customWidth="1"/>
    <col min="7415" max="7415" width="41" style="4" customWidth="1"/>
    <col min="7416" max="7416" width="11.85546875" style="4" customWidth="1"/>
    <col min="7417" max="7661" width="8.85546875" style="4"/>
    <col min="7662" max="7662" width="2.7109375" style="4" customWidth="1"/>
    <col min="7663" max="7663" width="36.42578125" style="4" customWidth="1"/>
    <col min="7664" max="7664" width="11" style="4" customWidth="1"/>
    <col min="7665" max="7665" width="4.85546875" style="4" customWidth="1"/>
    <col min="7666" max="7666" width="12.5703125" style="4" customWidth="1"/>
    <col min="7667" max="7667" width="9.28515625" style="4" bestFit="1" customWidth="1"/>
    <col min="7668" max="7668" width="13.140625" style="4" customWidth="1"/>
    <col min="7669" max="7669" width="38.140625" style="4" customWidth="1"/>
    <col min="7670" max="7670" width="32.28515625" style="4" bestFit="1" customWidth="1"/>
    <col min="7671" max="7671" width="41" style="4" customWidth="1"/>
    <col min="7672" max="7672" width="11.85546875" style="4" customWidth="1"/>
    <col min="7673" max="7917" width="8.85546875" style="4"/>
    <col min="7918" max="7918" width="2.7109375" style="4" customWidth="1"/>
    <col min="7919" max="7919" width="36.42578125" style="4" customWidth="1"/>
    <col min="7920" max="7920" width="11" style="4" customWidth="1"/>
    <col min="7921" max="7921" width="4.85546875" style="4" customWidth="1"/>
    <col min="7922" max="7922" width="12.5703125" style="4" customWidth="1"/>
    <col min="7923" max="7923" width="9.28515625" style="4" bestFit="1" customWidth="1"/>
    <col min="7924" max="7924" width="13.140625" style="4" customWidth="1"/>
    <col min="7925" max="7925" width="38.140625" style="4" customWidth="1"/>
    <col min="7926" max="7926" width="32.28515625" style="4" bestFit="1" customWidth="1"/>
    <col min="7927" max="7927" width="41" style="4" customWidth="1"/>
    <col min="7928" max="7928" width="11.85546875" style="4" customWidth="1"/>
    <col min="7929" max="8173" width="8.85546875" style="4"/>
    <col min="8174" max="8174" width="2.7109375" style="4" customWidth="1"/>
    <col min="8175" max="8175" width="36.42578125" style="4" customWidth="1"/>
    <col min="8176" max="8176" width="11" style="4" customWidth="1"/>
    <col min="8177" max="8177" width="4.85546875" style="4" customWidth="1"/>
    <col min="8178" max="8178" width="12.5703125" style="4" customWidth="1"/>
    <col min="8179" max="8179" width="9.28515625" style="4" bestFit="1" customWidth="1"/>
    <col min="8180" max="8180" width="13.140625" style="4" customWidth="1"/>
    <col min="8181" max="8181" width="38.140625" style="4" customWidth="1"/>
    <col min="8182" max="8182" width="32.28515625" style="4" bestFit="1" customWidth="1"/>
    <col min="8183" max="8183" width="41" style="4" customWidth="1"/>
    <col min="8184" max="8184" width="11.85546875" style="4" customWidth="1"/>
    <col min="8185" max="8429" width="8.85546875" style="4"/>
    <col min="8430" max="8430" width="2.7109375" style="4" customWidth="1"/>
    <col min="8431" max="8431" width="36.42578125" style="4" customWidth="1"/>
    <col min="8432" max="8432" width="11" style="4" customWidth="1"/>
    <col min="8433" max="8433" width="4.85546875" style="4" customWidth="1"/>
    <col min="8434" max="8434" width="12.5703125" style="4" customWidth="1"/>
    <col min="8435" max="8435" width="9.28515625" style="4" bestFit="1" customWidth="1"/>
    <col min="8436" max="8436" width="13.140625" style="4" customWidth="1"/>
    <col min="8437" max="8437" width="38.140625" style="4" customWidth="1"/>
    <col min="8438" max="8438" width="32.28515625" style="4" bestFit="1" customWidth="1"/>
    <col min="8439" max="8439" width="41" style="4" customWidth="1"/>
    <col min="8440" max="8440" width="11.85546875" style="4" customWidth="1"/>
    <col min="8441" max="8685" width="8.85546875" style="4"/>
    <col min="8686" max="8686" width="2.7109375" style="4" customWidth="1"/>
    <col min="8687" max="8687" width="36.42578125" style="4" customWidth="1"/>
    <col min="8688" max="8688" width="11" style="4" customWidth="1"/>
    <col min="8689" max="8689" width="4.85546875" style="4" customWidth="1"/>
    <col min="8690" max="8690" width="12.5703125" style="4" customWidth="1"/>
    <col min="8691" max="8691" width="9.28515625" style="4" bestFit="1" customWidth="1"/>
    <col min="8692" max="8692" width="13.140625" style="4" customWidth="1"/>
    <col min="8693" max="8693" width="38.140625" style="4" customWidth="1"/>
    <col min="8694" max="8694" width="32.28515625" style="4" bestFit="1" customWidth="1"/>
    <col min="8695" max="8695" width="41" style="4" customWidth="1"/>
    <col min="8696" max="8696" width="11.85546875" style="4" customWidth="1"/>
    <col min="8697" max="8941" width="8.85546875" style="4"/>
    <col min="8942" max="8942" width="2.7109375" style="4" customWidth="1"/>
    <col min="8943" max="8943" width="36.42578125" style="4" customWidth="1"/>
    <col min="8944" max="8944" width="11" style="4" customWidth="1"/>
    <col min="8945" max="8945" width="4.85546875" style="4" customWidth="1"/>
    <col min="8946" max="8946" width="12.5703125" style="4" customWidth="1"/>
    <col min="8947" max="8947" width="9.28515625" style="4" bestFit="1" customWidth="1"/>
    <col min="8948" max="8948" width="13.140625" style="4" customWidth="1"/>
    <col min="8949" max="8949" width="38.140625" style="4" customWidth="1"/>
    <col min="8950" max="8950" width="32.28515625" style="4" bestFit="1" customWidth="1"/>
    <col min="8951" max="8951" width="41" style="4" customWidth="1"/>
    <col min="8952" max="8952" width="11.85546875" style="4" customWidth="1"/>
    <col min="8953" max="9197" width="8.85546875" style="4"/>
    <col min="9198" max="9198" width="2.7109375" style="4" customWidth="1"/>
    <col min="9199" max="9199" width="36.42578125" style="4" customWidth="1"/>
    <col min="9200" max="9200" width="11" style="4" customWidth="1"/>
    <col min="9201" max="9201" width="4.85546875" style="4" customWidth="1"/>
    <col min="9202" max="9202" width="12.5703125" style="4" customWidth="1"/>
    <col min="9203" max="9203" width="9.28515625" style="4" bestFit="1" customWidth="1"/>
    <col min="9204" max="9204" width="13.140625" style="4" customWidth="1"/>
    <col min="9205" max="9205" width="38.140625" style="4" customWidth="1"/>
    <col min="9206" max="9206" width="32.28515625" style="4" bestFit="1" customWidth="1"/>
    <col min="9207" max="9207" width="41" style="4" customWidth="1"/>
    <col min="9208" max="9208" width="11.85546875" style="4" customWidth="1"/>
    <col min="9209" max="9453" width="8.85546875" style="4"/>
    <col min="9454" max="9454" width="2.7109375" style="4" customWidth="1"/>
    <col min="9455" max="9455" width="36.42578125" style="4" customWidth="1"/>
    <col min="9456" max="9456" width="11" style="4" customWidth="1"/>
    <col min="9457" max="9457" width="4.85546875" style="4" customWidth="1"/>
    <col min="9458" max="9458" width="12.5703125" style="4" customWidth="1"/>
    <col min="9459" max="9459" width="9.28515625" style="4" bestFit="1" customWidth="1"/>
    <col min="9460" max="9460" width="13.140625" style="4" customWidth="1"/>
    <col min="9461" max="9461" width="38.140625" style="4" customWidth="1"/>
    <col min="9462" max="9462" width="32.28515625" style="4" bestFit="1" customWidth="1"/>
    <col min="9463" max="9463" width="41" style="4" customWidth="1"/>
    <col min="9464" max="9464" width="11.85546875" style="4" customWidth="1"/>
    <col min="9465" max="9709" width="8.85546875" style="4"/>
    <col min="9710" max="9710" width="2.7109375" style="4" customWidth="1"/>
    <col min="9711" max="9711" width="36.42578125" style="4" customWidth="1"/>
    <col min="9712" max="9712" width="11" style="4" customWidth="1"/>
    <col min="9713" max="9713" width="4.85546875" style="4" customWidth="1"/>
    <col min="9714" max="9714" width="12.5703125" style="4" customWidth="1"/>
    <col min="9715" max="9715" width="9.28515625" style="4" bestFit="1" customWidth="1"/>
    <col min="9716" max="9716" width="13.140625" style="4" customWidth="1"/>
    <col min="9717" max="9717" width="38.140625" style="4" customWidth="1"/>
    <col min="9718" max="9718" width="32.28515625" style="4" bestFit="1" customWidth="1"/>
    <col min="9719" max="9719" width="41" style="4" customWidth="1"/>
    <col min="9720" max="9720" width="11.85546875" style="4" customWidth="1"/>
    <col min="9721" max="9965" width="8.85546875" style="4"/>
    <col min="9966" max="9966" width="2.7109375" style="4" customWidth="1"/>
    <col min="9967" max="9967" width="36.42578125" style="4" customWidth="1"/>
    <col min="9968" max="9968" width="11" style="4" customWidth="1"/>
    <col min="9969" max="9969" width="4.85546875" style="4" customWidth="1"/>
    <col min="9970" max="9970" width="12.5703125" style="4" customWidth="1"/>
    <col min="9971" max="9971" width="9.28515625" style="4" bestFit="1" customWidth="1"/>
    <col min="9972" max="9972" width="13.140625" style="4" customWidth="1"/>
    <col min="9973" max="9973" width="38.140625" style="4" customWidth="1"/>
    <col min="9974" max="9974" width="32.28515625" style="4" bestFit="1" customWidth="1"/>
    <col min="9975" max="9975" width="41" style="4" customWidth="1"/>
    <col min="9976" max="9976" width="11.85546875" style="4" customWidth="1"/>
    <col min="9977" max="10221" width="8.85546875" style="4"/>
    <col min="10222" max="10222" width="2.7109375" style="4" customWidth="1"/>
    <col min="10223" max="10223" width="36.42578125" style="4" customWidth="1"/>
    <col min="10224" max="10224" width="11" style="4" customWidth="1"/>
    <col min="10225" max="10225" width="4.85546875" style="4" customWidth="1"/>
    <col min="10226" max="10226" width="12.5703125" style="4" customWidth="1"/>
    <col min="10227" max="10227" width="9.28515625" style="4" bestFit="1" customWidth="1"/>
    <col min="10228" max="10228" width="13.140625" style="4" customWidth="1"/>
    <col min="10229" max="10229" width="38.140625" style="4" customWidth="1"/>
    <col min="10230" max="10230" width="32.28515625" style="4" bestFit="1" customWidth="1"/>
    <col min="10231" max="10231" width="41" style="4" customWidth="1"/>
    <col min="10232" max="10232" width="11.85546875" style="4" customWidth="1"/>
    <col min="10233" max="10477" width="8.85546875" style="4"/>
    <col min="10478" max="10478" width="2.7109375" style="4" customWidth="1"/>
    <col min="10479" max="10479" width="36.42578125" style="4" customWidth="1"/>
    <col min="10480" max="10480" width="11" style="4" customWidth="1"/>
    <col min="10481" max="10481" width="4.85546875" style="4" customWidth="1"/>
    <col min="10482" max="10482" width="12.5703125" style="4" customWidth="1"/>
    <col min="10483" max="10483" width="9.28515625" style="4" bestFit="1" customWidth="1"/>
    <col min="10484" max="10484" width="13.140625" style="4" customWidth="1"/>
    <col min="10485" max="10485" width="38.140625" style="4" customWidth="1"/>
    <col min="10486" max="10486" width="32.28515625" style="4" bestFit="1" customWidth="1"/>
    <col min="10487" max="10487" width="41" style="4" customWidth="1"/>
    <col min="10488" max="10488" width="11.85546875" style="4" customWidth="1"/>
    <col min="10489" max="10733" width="8.85546875" style="4"/>
    <col min="10734" max="10734" width="2.7109375" style="4" customWidth="1"/>
    <col min="10735" max="10735" width="36.42578125" style="4" customWidth="1"/>
    <col min="10736" max="10736" width="11" style="4" customWidth="1"/>
    <col min="10737" max="10737" width="4.85546875" style="4" customWidth="1"/>
    <col min="10738" max="10738" width="12.5703125" style="4" customWidth="1"/>
    <col min="10739" max="10739" width="9.28515625" style="4" bestFit="1" customWidth="1"/>
    <col min="10740" max="10740" width="13.140625" style="4" customWidth="1"/>
    <col min="10741" max="10741" width="38.140625" style="4" customWidth="1"/>
    <col min="10742" max="10742" width="32.28515625" style="4" bestFit="1" customWidth="1"/>
    <col min="10743" max="10743" width="41" style="4" customWidth="1"/>
    <col min="10744" max="10744" width="11.85546875" style="4" customWidth="1"/>
    <col min="10745" max="10989" width="8.85546875" style="4"/>
    <col min="10990" max="10990" width="2.7109375" style="4" customWidth="1"/>
    <col min="10991" max="10991" width="36.42578125" style="4" customWidth="1"/>
    <col min="10992" max="10992" width="11" style="4" customWidth="1"/>
    <col min="10993" max="10993" width="4.85546875" style="4" customWidth="1"/>
    <col min="10994" max="10994" width="12.5703125" style="4" customWidth="1"/>
    <col min="10995" max="10995" width="9.28515625" style="4" bestFit="1" customWidth="1"/>
    <col min="10996" max="10996" width="13.140625" style="4" customWidth="1"/>
    <col min="10997" max="10997" width="38.140625" style="4" customWidth="1"/>
    <col min="10998" max="10998" width="32.28515625" style="4" bestFit="1" customWidth="1"/>
    <col min="10999" max="10999" width="41" style="4" customWidth="1"/>
    <col min="11000" max="11000" width="11.85546875" style="4" customWidth="1"/>
    <col min="11001" max="11245" width="8.85546875" style="4"/>
    <col min="11246" max="11246" width="2.7109375" style="4" customWidth="1"/>
    <col min="11247" max="11247" width="36.42578125" style="4" customWidth="1"/>
    <col min="11248" max="11248" width="11" style="4" customWidth="1"/>
    <col min="11249" max="11249" width="4.85546875" style="4" customWidth="1"/>
    <col min="11250" max="11250" width="12.5703125" style="4" customWidth="1"/>
    <col min="11251" max="11251" width="9.28515625" style="4" bestFit="1" customWidth="1"/>
    <col min="11252" max="11252" width="13.140625" style="4" customWidth="1"/>
    <col min="11253" max="11253" width="38.140625" style="4" customWidth="1"/>
    <col min="11254" max="11254" width="32.28515625" style="4" bestFit="1" customWidth="1"/>
    <col min="11255" max="11255" width="41" style="4" customWidth="1"/>
    <col min="11256" max="11256" width="11.85546875" style="4" customWidth="1"/>
    <col min="11257" max="11501" width="8.85546875" style="4"/>
    <col min="11502" max="11502" width="2.7109375" style="4" customWidth="1"/>
    <col min="11503" max="11503" width="36.42578125" style="4" customWidth="1"/>
    <col min="11504" max="11504" width="11" style="4" customWidth="1"/>
    <col min="11505" max="11505" width="4.85546875" style="4" customWidth="1"/>
    <col min="11506" max="11506" width="12.5703125" style="4" customWidth="1"/>
    <col min="11507" max="11507" width="9.28515625" style="4" bestFit="1" customWidth="1"/>
    <col min="11508" max="11508" width="13.140625" style="4" customWidth="1"/>
    <col min="11509" max="11509" width="38.140625" style="4" customWidth="1"/>
    <col min="11510" max="11510" width="32.28515625" style="4" bestFit="1" customWidth="1"/>
    <col min="11511" max="11511" width="41" style="4" customWidth="1"/>
    <col min="11512" max="11512" width="11.85546875" style="4" customWidth="1"/>
    <col min="11513" max="11757" width="8.85546875" style="4"/>
    <col min="11758" max="11758" width="2.7109375" style="4" customWidth="1"/>
    <col min="11759" max="11759" width="36.42578125" style="4" customWidth="1"/>
    <col min="11760" max="11760" width="11" style="4" customWidth="1"/>
    <col min="11761" max="11761" width="4.85546875" style="4" customWidth="1"/>
    <col min="11762" max="11762" width="12.5703125" style="4" customWidth="1"/>
    <col min="11763" max="11763" width="9.28515625" style="4" bestFit="1" customWidth="1"/>
    <col min="11764" max="11764" width="13.140625" style="4" customWidth="1"/>
    <col min="11765" max="11765" width="38.140625" style="4" customWidth="1"/>
    <col min="11766" max="11766" width="32.28515625" style="4" bestFit="1" customWidth="1"/>
    <col min="11767" max="11767" width="41" style="4" customWidth="1"/>
    <col min="11768" max="11768" width="11.85546875" style="4" customWidth="1"/>
    <col min="11769" max="12013" width="8.85546875" style="4"/>
    <col min="12014" max="12014" width="2.7109375" style="4" customWidth="1"/>
    <col min="12015" max="12015" width="36.42578125" style="4" customWidth="1"/>
    <col min="12016" max="12016" width="11" style="4" customWidth="1"/>
    <col min="12017" max="12017" width="4.85546875" style="4" customWidth="1"/>
    <col min="12018" max="12018" width="12.5703125" style="4" customWidth="1"/>
    <col min="12019" max="12019" width="9.28515625" style="4" bestFit="1" customWidth="1"/>
    <col min="12020" max="12020" width="13.140625" style="4" customWidth="1"/>
    <col min="12021" max="12021" width="38.140625" style="4" customWidth="1"/>
    <col min="12022" max="12022" width="32.28515625" style="4" bestFit="1" customWidth="1"/>
    <col min="12023" max="12023" width="41" style="4" customWidth="1"/>
    <col min="12024" max="12024" width="11.85546875" style="4" customWidth="1"/>
    <col min="12025" max="12269" width="8.85546875" style="4"/>
    <col min="12270" max="12270" width="2.7109375" style="4" customWidth="1"/>
    <col min="12271" max="12271" width="36.42578125" style="4" customWidth="1"/>
    <col min="12272" max="12272" width="11" style="4" customWidth="1"/>
    <col min="12273" max="12273" width="4.85546875" style="4" customWidth="1"/>
    <col min="12274" max="12274" width="12.5703125" style="4" customWidth="1"/>
    <col min="12275" max="12275" width="9.28515625" style="4" bestFit="1" customWidth="1"/>
    <col min="12276" max="12276" width="13.140625" style="4" customWidth="1"/>
    <col min="12277" max="12277" width="38.140625" style="4" customWidth="1"/>
    <col min="12278" max="12278" width="32.28515625" style="4" bestFit="1" customWidth="1"/>
    <col min="12279" max="12279" width="41" style="4" customWidth="1"/>
    <col min="12280" max="12280" width="11.85546875" style="4" customWidth="1"/>
    <col min="12281" max="12525" width="8.85546875" style="4"/>
    <col min="12526" max="12526" width="2.7109375" style="4" customWidth="1"/>
    <col min="12527" max="12527" width="36.42578125" style="4" customWidth="1"/>
    <col min="12528" max="12528" width="11" style="4" customWidth="1"/>
    <col min="12529" max="12529" width="4.85546875" style="4" customWidth="1"/>
    <col min="12530" max="12530" width="12.5703125" style="4" customWidth="1"/>
    <col min="12531" max="12531" width="9.28515625" style="4" bestFit="1" customWidth="1"/>
    <col min="12532" max="12532" width="13.140625" style="4" customWidth="1"/>
    <col min="12533" max="12533" width="38.140625" style="4" customWidth="1"/>
    <col min="12534" max="12534" width="32.28515625" style="4" bestFit="1" customWidth="1"/>
    <col min="12535" max="12535" width="41" style="4" customWidth="1"/>
    <col min="12536" max="12536" width="11.85546875" style="4" customWidth="1"/>
    <col min="12537" max="12781" width="8.85546875" style="4"/>
    <col min="12782" max="12782" width="2.7109375" style="4" customWidth="1"/>
    <col min="12783" max="12783" width="36.42578125" style="4" customWidth="1"/>
    <col min="12784" max="12784" width="11" style="4" customWidth="1"/>
    <col min="12785" max="12785" width="4.85546875" style="4" customWidth="1"/>
    <col min="12786" max="12786" width="12.5703125" style="4" customWidth="1"/>
    <col min="12787" max="12787" width="9.28515625" style="4" bestFit="1" customWidth="1"/>
    <col min="12788" max="12788" width="13.140625" style="4" customWidth="1"/>
    <col min="12789" max="12789" width="38.140625" style="4" customWidth="1"/>
    <col min="12790" max="12790" width="32.28515625" style="4" bestFit="1" customWidth="1"/>
    <col min="12791" max="12791" width="41" style="4" customWidth="1"/>
    <col min="12792" max="12792" width="11.85546875" style="4" customWidth="1"/>
    <col min="12793" max="13037" width="8.85546875" style="4"/>
    <col min="13038" max="13038" width="2.7109375" style="4" customWidth="1"/>
    <col min="13039" max="13039" width="36.42578125" style="4" customWidth="1"/>
    <col min="13040" max="13040" width="11" style="4" customWidth="1"/>
    <col min="13041" max="13041" width="4.85546875" style="4" customWidth="1"/>
    <col min="13042" max="13042" width="12.5703125" style="4" customWidth="1"/>
    <col min="13043" max="13043" width="9.28515625" style="4" bestFit="1" customWidth="1"/>
    <col min="13044" max="13044" width="13.140625" style="4" customWidth="1"/>
    <col min="13045" max="13045" width="38.140625" style="4" customWidth="1"/>
    <col min="13046" max="13046" width="32.28515625" style="4" bestFit="1" customWidth="1"/>
    <col min="13047" max="13047" width="41" style="4" customWidth="1"/>
    <col min="13048" max="13048" width="11.85546875" style="4" customWidth="1"/>
    <col min="13049" max="13293" width="8.85546875" style="4"/>
    <col min="13294" max="13294" width="2.7109375" style="4" customWidth="1"/>
    <col min="13295" max="13295" width="36.42578125" style="4" customWidth="1"/>
    <col min="13296" max="13296" width="11" style="4" customWidth="1"/>
    <col min="13297" max="13297" width="4.85546875" style="4" customWidth="1"/>
    <col min="13298" max="13298" width="12.5703125" style="4" customWidth="1"/>
    <col min="13299" max="13299" width="9.28515625" style="4" bestFit="1" customWidth="1"/>
    <col min="13300" max="13300" width="13.140625" style="4" customWidth="1"/>
    <col min="13301" max="13301" width="38.140625" style="4" customWidth="1"/>
    <col min="13302" max="13302" width="32.28515625" style="4" bestFit="1" customWidth="1"/>
    <col min="13303" max="13303" width="41" style="4" customWidth="1"/>
    <col min="13304" max="13304" width="11.85546875" style="4" customWidth="1"/>
    <col min="13305" max="13549" width="8.85546875" style="4"/>
    <col min="13550" max="13550" width="2.7109375" style="4" customWidth="1"/>
    <col min="13551" max="13551" width="36.42578125" style="4" customWidth="1"/>
    <col min="13552" max="13552" width="11" style="4" customWidth="1"/>
    <col min="13553" max="13553" width="4.85546875" style="4" customWidth="1"/>
    <col min="13554" max="13554" width="12.5703125" style="4" customWidth="1"/>
    <col min="13555" max="13555" width="9.28515625" style="4" bestFit="1" customWidth="1"/>
    <col min="13556" max="13556" width="13.140625" style="4" customWidth="1"/>
    <col min="13557" max="13557" width="38.140625" style="4" customWidth="1"/>
    <col min="13558" max="13558" width="32.28515625" style="4" bestFit="1" customWidth="1"/>
    <col min="13559" max="13559" width="41" style="4" customWidth="1"/>
    <col min="13560" max="13560" width="11.85546875" style="4" customWidth="1"/>
    <col min="13561" max="13805" width="8.85546875" style="4"/>
    <col min="13806" max="13806" width="2.7109375" style="4" customWidth="1"/>
    <col min="13807" max="13807" width="36.42578125" style="4" customWidth="1"/>
    <col min="13808" max="13808" width="11" style="4" customWidth="1"/>
    <col min="13809" max="13809" width="4.85546875" style="4" customWidth="1"/>
    <col min="13810" max="13810" width="12.5703125" style="4" customWidth="1"/>
    <col min="13811" max="13811" width="9.28515625" style="4" bestFit="1" customWidth="1"/>
    <col min="13812" max="13812" width="13.140625" style="4" customWidth="1"/>
    <col min="13813" max="13813" width="38.140625" style="4" customWidth="1"/>
    <col min="13814" max="13814" width="32.28515625" style="4" bestFit="1" customWidth="1"/>
    <col min="13815" max="13815" width="41" style="4" customWidth="1"/>
    <col min="13816" max="13816" width="11.85546875" style="4" customWidth="1"/>
    <col min="13817" max="14061" width="8.85546875" style="4"/>
    <col min="14062" max="14062" width="2.7109375" style="4" customWidth="1"/>
    <col min="14063" max="14063" width="36.42578125" style="4" customWidth="1"/>
    <col min="14064" max="14064" width="11" style="4" customWidth="1"/>
    <col min="14065" max="14065" width="4.85546875" style="4" customWidth="1"/>
    <col min="14066" max="14066" width="12.5703125" style="4" customWidth="1"/>
    <col min="14067" max="14067" width="9.28515625" style="4" bestFit="1" customWidth="1"/>
    <col min="14068" max="14068" width="13.140625" style="4" customWidth="1"/>
    <col min="14069" max="14069" width="38.140625" style="4" customWidth="1"/>
    <col min="14070" max="14070" width="32.28515625" style="4" bestFit="1" customWidth="1"/>
    <col min="14071" max="14071" width="41" style="4" customWidth="1"/>
    <col min="14072" max="14072" width="11.85546875" style="4" customWidth="1"/>
    <col min="14073" max="14317" width="8.85546875" style="4"/>
    <col min="14318" max="14318" width="2.7109375" style="4" customWidth="1"/>
    <col min="14319" max="14319" width="36.42578125" style="4" customWidth="1"/>
    <col min="14320" max="14320" width="11" style="4" customWidth="1"/>
    <col min="14321" max="14321" width="4.85546875" style="4" customWidth="1"/>
    <col min="14322" max="14322" width="12.5703125" style="4" customWidth="1"/>
    <col min="14323" max="14323" width="9.28515625" style="4" bestFit="1" customWidth="1"/>
    <col min="14324" max="14324" width="13.140625" style="4" customWidth="1"/>
    <col min="14325" max="14325" width="38.140625" style="4" customWidth="1"/>
    <col min="14326" max="14326" width="32.28515625" style="4" bestFit="1" customWidth="1"/>
    <col min="14327" max="14327" width="41" style="4" customWidth="1"/>
    <col min="14328" max="14328" width="11.85546875" style="4" customWidth="1"/>
    <col min="14329" max="14573" width="8.85546875" style="4"/>
    <col min="14574" max="14574" width="2.7109375" style="4" customWidth="1"/>
    <col min="14575" max="14575" width="36.42578125" style="4" customWidth="1"/>
    <col min="14576" max="14576" width="11" style="4" customWidth="1"/>
    <col min="14577" max="14577" width="4.85546875" style="4" customWidth="1"/>
    <col min="14578" max="14578" width="12.5703125" style="4" customWidth="1"/>
    <col min="14579" max="14579" width="9.28515625" style="4" bestFit="1" customWidth="1"/>
    <col min="14580" max="14580" width="13.140625" style="4" customWidth="1"/>
    <col min="14581" max="14581" width="38.140625" style="4" customWidth="1"/>
    <col min="14582" max="14582" width="32.28515625" style="4" bestFit="1" customWidth="1"/>
    <col min="14583" max="14583" width="41" style="4" customWidth="1"/>
    <col min="14584" max="14584" width="11.85546875" style="4" customWidth="1"/>
    <col min="14585" max="14829" width="8.85546875" style="4"/>
    <col min="14830" max="14830" width="2.7109375" style="4" customWidth="1"/>
    <col min="14831" max="14831" width="36.42578125" style="4" customWidth="1"/>
    <col min="14832" max="14832" width="11" style="4" customWidth="1"/>
    <col min="14833" max="14833" width="4.85546875" style="4" customWidth="1"/>
    <col min="14834" max="14834" width="12.5703125" style="4" customWidth="1"/>
    <col min="14835" max="14835" width="9.28515625" style="4" bestFit="1" customWidth="1"/>
    <col min="14836" max="14836" width="13.140625" style="4" customWidth="1"/>
    <col min="14837" max="14837" width="38.140625" style="4" customWidth="1"/>
    <col min="14838" max="14838" width="32.28515625" style="4" bestFit="1" customWidth="1"/>
    <col min="14839" max="14839" width="41" style="4" customWidth="1"/>
    <col min="14840" max="14840" width="11.85546875" style="4" customWidth="1"/>
    <col min="14841" max="15085" width="8.85546875" style="4"/>
    <col min="15086" max="15086" width="2.7109375" style="4" customWidth="1"/>
    <col min="15087" max="15087" width="36.42578125" style="4" customWidth="1"/>
    <col min="15088" max="15088" width="11" style="4" customWidth="1"/>
    <col min="15089" max="15089" width="4.85546875" style="4" customWidth="1"/>
    <col min="15090" max="15090" width="12.5703125" style="4" customWidth="1"/>
    <col min="15091" max="15091" width="9.28515625" style="4" bestFit="1" customWidth="1"/>
    <col min="15092" max="15092" width="13.140625" style="4" customWidth="1"/>
    <col min="15093" max="15093" width="38.140625" style="4" customWidth="1"/>
    <col min="15094" max="15094" width="32.28515625" style="4" bestFit="1" customWidth="1"/>
    <col min="15095" max="15095" width="41" style="4" customWidth="1"/>
    <col min="15096" max="15096" width="11.85546875" style="4" customWidth="1"/>
    <col min="15097" max="15341" width="8.85546875" style="4"/>
    <col min="15342" max="15342" width="2.7109375" style="4" customWidth="1"/>
    <col min="15343" max="15343" width="36.42578125" style="4" customWidth="1"/>
    <col min="15344" max="15344" width="11" style="4" customWidth="1"/>
    <col min="15345" max="15345" width="4.85546875" style="4" customWidth="1"/>
    <col min="15346" max="15346" width="12.5703125" style="4" customWidth="1"/>
    <col min="15347" max="15347" width="9.28515625" style="4" bestFit="1" customWidth="1"/>
    <col min="15348" max="15348" width="13.140625" style="4" customWidth="1"/>
    <col min="15349" max="15349" width="38.140625" style="4" customWidth="1"/>
    <col min="15350" max="15350" width="32.28515625" style="4" bestFit="1" customWidth="1"/>
    <col min="15351" max="15351" width="41" style="4" customWidth="1"/>
    <col min="15352" max="15352" width="11.85546875" style="4" customWidth="1"/>
    <col min="15353" max="15597" width="8.85546875" style="4"/>
    <col min="15598" max="15598" width="2.7109375" style="4" customWidth="1"/>
    <col min="15599" max="15599" width="36.42578125" style="4" customWidth="1"/>
    <col min="15600" max="15600" width="11" style="4" customWidth="1"/>
    <col min="15601" max="15601" width="4.85546875" style="4" customWidth="1"/>
    <col min="15602" max="15602" width="12.5703125" style="4" customWidth="1"/>
    <col min="15603" max="15603" width="9.28515625" style="4" bestFit="1" customWidth="1"/>
    <col min="15604" max="15604" width="13.140625" style="4" customWidth="1"/>
    <col min="15605" max="15605" width="38.140625" style="4" customWidth="1"/>
    <col min="15606" max="15606" width="32.28515625" style="4" bestFit="1" customWidth="1"/>
    <col min="15607" max="15607" width="41" style="4" customWidth="1"/>
    <col min="15608" max="15608" width="11.85546875" style="4" customWidth="1"/>
    <col min="15609" max="15853" width="8.85546875" style="4"/>
    <col min="15854" max="15854" width="2.7109375" style="4" customWidth="1"/>
    <col min="15855" max="15855" width="36.42578125" style="4" customWidth="1"/>
    <col min="15856" max="15856" width="11" style="4" customWidth="1"/>
    <col min="15857" max="15857" width="4.85546875" style="4" customWidth="1"/>
    <col min="15858" max="15858" width="12.5703125" style="4" customWidth="1"/>
    <col min="15859" max="15859" width="9.28515625" style="4" bestFit="1" customWidth="1"/>
    <col min="15860" max="15860" width="13.140625" style="4" customWidth="1"/>
    <col min="15861" max="15861" width="38.140625" style="4" customWidth="1"/>
    <col min="15862" max="15862" width="32.28515625" style="4" bestFit="1" customWidth="1"/>
    <col min="15863" max="15863" width="41" style="4" customWidth="1"/>
    <col min="15864" max="15864" width="11.85546875" style="4" customWidth="1"/>
    <col min="15865" max="16109" width="8.85546875" style="4"/>
    <col min="16110" max="16110" width="2.7109375" style="4" customWidth="1"/>
    <col min="16111" max="16111" width="36.42578125" style="4" customWidth="1"/>
    <col min="16112" max="16112" width="11" style="4" customWidth="1"/>
    <col min="16113" max="16113" width="4.85546875" style="4" customWidth="1"/>
    <col min="16114" max="16114" width="12.5703125" style="4" customWidth="1"/>
    <col min="16115" max="16115" width="9.28515625" style="4" bestFit="1" customWidth="1"/>
    <col min="16116" max="16116" width="13.140625" style="4" customWidth="1"/>
    <col min="16117" max="16117" width="38.140625" style="4" customWidth="1"/>
    <col min="16118" max="16118" width="32.28515625" style="4" bestFit="1" customWidth="1"/>
    <col min="16119" max="16119" width="41" style="4" customWidth="1"/>
    <col min="16120" max="16120" width="11.85546875" style="4" customWidth="1"/>
    <col min="16121" max="16384" width="8.85546875" style="4"/>
  </cols>
  <sheetData>
    <row r="1" spans="1:31" s="8" customFormat="1" ht="42.75" x14ac:dyDescent="0.25">
      <c r="A1" s="9" t="s">
        <v>63</v>
      </c>
      <c r="B1" s="30" t="s">
        <v>169</v>
      </c>
      <c r="C1" s="30" t="s">
        <v>266</v>
      </c>
      <c r="D1" s="61" t="s">
        <v>223</v>
      </c>
      <c r="E1" s="7" t="s">
        <v>157</v>
      </c>
      <c r="F1" s="7" t="s">
        <v>418</v>
      </c>
    </row>
    <row r="2" spans="1:31" s="3" customFormat="1" ht="14.25" x14ac:dyDescent="0.25">
      <c r="A2" s="14" t="s">
        <v>45</v>
      </c>
      <c r="B2" s="24"/>
      <c r="C2" s="82"/>
      <c r="D2" s="24"/>
      <c r="E2" s="10"/>
      <c r="F2" s="100"/>
    </row>
    <row r="3" spans="1:31" s="3" customFormat="1" ht="14.25" x14ac:dyDescent="0.25">
      <c r="A3" s="15" t="s">
        <v>10</v>
      </c>
      <c r="B3" s="82" t="s">
        <v>64</v>
      </c>
      <c r="C3" s="82" t="s">
        <v>64</v>
      </c>
      <c r="D3" s="89" t="s">
        <v>64</v>
      </c>
      <c r="E3" s="105" t="s">
        <v>158</v>
      </c>
      <c r="F3" s="100" t="s">
        <v>389</v>
      </c>
    </row>
    <row r="4" spans="1:31" s="3" customFormat="1" ht="14.25" x14ac:dyDescent="0.25">
      <c r="A4" s="15" t="s">
        <v>65</v>
      </c>
      <c r="B4" s="82" t="s">
        <v>9</v>
      </c>
      <c r="C4" s="82" t="s">
        <v>9</v>
      </c>
      <c r="D4" s="89" t="s">
        <v>9</v>
      </c>
      <c r="E4" s="106"/>
      <c r="F4" s="100"/>
    </row>
    <row r="5" spans="1:31" s="3" customFormat="1" ht="28.5" x14ac:dyDescent="0.25">
      <c r="A5" s="15" t="s">
        <v>66</v>
      </c>
      <c r="B5" s="82" t="s">
        <v>141</v>
      </c>
      <c r="C5" s="82" t="s">
        <v>141</v>
      </c>
      <c r="D5" s="89" t="s">
        <v>171</v>
      </c>
      <c r="E5" s="19" t="s">
        <v>164</v>
      </c>
      <c r="F5" s="100"/>
    </row>
    <row r="6" spans="1:31" s="3" customFormat="1" ht="14.25" x14ac:dyDescent="0.25">
      <c r="A6" s="15" t="s">
        <v>11</v>
      </c>
      <c r="B6" s="82" t="s">
        <v>153</v>
      </c>
      <c r="C6" s="82" t="s">
        <v>153</v>
      </c>
      <c r="D6" s="89" t="s">
        <v>153</v>
      </c>
      <c r="E6" s="19"/>
      <c r="F6" s="100"/>
    </row>
    <row r="7" spans="1:31" s="3" customFormat="1" ht="14.25" x14ac:dyDescent="0.25">
      <c r="A7" s="15" t="s">
        <v>12</v>
      </c>
      <c r="B7" s="82" t="s">
        <v>153</v>
      </c>
      <c r="C7" s="82" t="s">
        <v>153</v>
      </c>
      <c r="D7" s="89" t="s">
        <v>153</v>
      </c>
      <c r="E7" s="19"/>
      <c r="F7" s="100"/>
    </row>
    <row r="8" spans="1:31" s="3" customFormat="1" ht="14.25" x14ac:dyDescent="0.25">
      <c r="A8" s="14" t="s">
        <v>26</v>
      </c>
      <c r="B8" s="24"/>
      <c r="C8" s="82"/>
      <c r="D8" s="89"/>
      <c r="E8" s="19"/>
      <c r="F8" s="100"/>
    </row>
    <row r="9" spans="1:31" s="3" customFormat="1" ht="14.25" x14ac:dyDescent="0.25">
      <c r="A9" s="15" t="s">
        <v>13</v>
      </c>
      <c r="B9" s="83" t="s">
        <v>267</v>
      </c>
      <c r="C9" s="83" t="s">
        <v>267</v>
      </c>
      <c r="D9" s="83" t="s">
        <v>416</v>
      </c>
      <c r="E9" s="19"/>
      <c r="F9" s="100" t="s">
        <v>390</v>
      </c>
    </row>
    <row r="10" spans="1:31" ht="14.25" x14ac:dyDescent="0.25">
      <c r="A10" s="16" t="s">
        <v>17</v>
      </c>
      <c r="B10" s="24" t="s">
        <v>67</v>
      </c>
      <c r="C10" s="82" t="s">
        <v>140</v>
      </c>
      <c r="D10" s="82" t="s">
        <v>140</v>
      </c>
      <c r="E10" s="20"/>
      <c r="F10" s="1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51" customHeight="1" x14ac:dyDescent="0.25">
      <c r="A11" s="58" t="s">
        <v>229</v>
      </c>
      <c r="B11" s="24" t="s">
        <v>16</v>
      </c>
      <c r="C11" s="82" t="s">
        <v>268</v>
      </c>
      <c r="D11" s="89" t="s">
        <v>328</v>
      </c>
      <c r="E11" s="55" t="s">
        <v>252</v>
      </c>
      <c r="F11" s="1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28.5" x14ac:dyDescent="0.25">
      <c r="A12" s="58" t="s">
        <v>27</v>
      </c>
      <c r="B12" s="24" t="s">
        <v>68</v>
      </c>
      <c r="C12" s="82" t="s">
        <v>269</v>
      </c>
      <c r="D12" s="89" t="s">
        <v>329</v>
      </c>
      <c r="E12" s="55" t="s">
        <v>251</v>
      </c>
      <c r="F12" s="11"/>
    </row>
    <row r="13" spans="1:31" ht="28.5" x14ac:dyDescent="0.25">
      <c r="A13" s="58" t="s">
        <v>46</v>
      </c>
      <c r="B13" s="24" t="s">
        <v>47</v>
      </c>
      <c r="C13" s="82" t="s">
        <v>270</v>
      </c>
      <c r="D13" s="89" t="s">
        <v>330</v>
      </c>
      <c r="E13" s="107" t="s">
        <v>251</v>
      </c>
      <c r="F13" s="11"/>
    </row>
    <row r="14" spans="1:31" ht="33" customHeight="1" x14ac:dyDescent="0.25">
      <c r="A14" s="58" t="s">
        <v>48</v>
      </c>
      <c r="B14" s="24" t="s">
        <v>49</v>
      </c>
      <c r="C14" s="82" t="s">
        <v>271</v>
      </c>
      <c r="D14" s="89" t="s">
        <v>331</v>
      </c>
      <c r="E14" s="108"/>
      <c r="F14" s="11"/>
    </row>
    <row r="15" spans="1:31" ht="28.5" x14ac:dyDescent="0.25">
      <c r="A15" s="58" t="s">
        <v>28</v>
      </c>
      <c r="B15" s="24" t="s">
        <v>144</v>
      </c>
      <c r="C15" s="82" t="s">
        <v>144</v>
      </c>
      <c r="D15" s="89" t="s">
        <v>144</v>
      </c>
      <c r="E15" s="55" t="s">
        <v>332</v>
      </c>
      <c r="F15" s="11"/>
    </row>
    <row r="16" spans="1:31" ht="28.5" x14ac:dyDescent="0.25">
      <c r="A16" s="58" t="s">
        <v>29</v>
      </c>
      <c r="B16" s="24" t="s">
        <v>145</v>
      </c>
      <c r="C16" s="82" t="s">
        <v>145</v>
      </c>
      <c r="D16" s="89" t="s">
        <v>145</v>
      </c>
      <c r="E16" s="55" t="s">
        <v>332</v>
      </c>
      <c r="F16" s="11"/>
    </row>
    <row r="17" spans="1:31" ht="42.75" x14ac:dyDescent="0.25">
      <c r="A17" s="58" t="s">
        <v>50</v>
      </c>
      <c r="B17" s="24" t="s">
        <v>146</v>
      </c>
      <c r="C17" s="82" t="s">
        <v>272</v>
      </c>
      <c r="D17" s="81" t="s">
        <v>272</v>
      </c>
      <c r="E17" s="55" t="s">
        <v>332</v>
      </c>
      <c r="F17" s="11"/>
    </row>
    <row r="18" spans="1:31" ht="42.75" x14ac:dyDescent="0.25">
      <c r="A18" s="58" t="s">
        <v>51</v>
      </c>
      <c r="B18" s="24" t="s">
        <v>143</v>
      </c>
      <c r="C18" s="81" t="s">
        <v>333</v>
      </c>
      <c r="D18" s="81" t="s">
        <v>333</v>
      </c>
      <c r="E18" s="55" t="s">
        <v>332</v>
      </c>
      <c r="F18" s="11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57" x14ac:dyDescent="0.25">
      <c r="A19" s="58" t="s">
        <v>30</v>
      </c>
      <c r="B19" s="24">
        <v>8448</v>
      </c>
      <c r="C19" s="82" t="s">
        <v>273</v>
      </c>
      <c r="D19" s="81" t="s">
        <v>273</v>
      </c>
      <c r="E19" s="55" t="s">
        <v>332</v>
      </c>
      <c r="F19" s="11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51" customHeight="1" x14ac:dyDescent="0.25">
      <c r="A20" s="58" t="s">
        <v>31</v>
      </c>
      <c r="B20" s="24" t="s">
        <v>147</v>
      </c>
      <c r="C20" s="82" t="s">
        <v>274</v>
      </c>
      <c r="D20" s="89" t="s">
        <v>334</v>
      </c>
      <c r="E20" s="55" t="s">
        <v>252</v>
      </c>
      <c r="F20" s="11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45.75" customHeight="1" x14ac:dyDescent="0.25">
      <c r="A21" s="58" t="s">
        <v>61</v>
      </c>
      <c r="B21" s="24" t="s">
        <v>148</v>
      </c>
      <c r="C21" s="82" t="s">
        <v>148</v>
      </c>
      <c r="D21" s="89" t="s">
        <v>322</v>
      </c>
      <c r="E21" s="55" t="s">
        <v>252</v>
      </c>
      <c r="F21" s="11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x14ac:dyDescent="0.25">
      <c r="A22" s="58" t="s">
        <v>69</v>
      </c>
      <c r="B22" s="24" t="s">
        <v>52</v>
      </c>
      <c r="C22" s="82" t="s">
        <v>275</v>
      </c>
      <c r="D22" s="89" t="s">
        <v>323</v>
      </c>
      <c r="E22" s="55" t="s">
        <v>252</v>
      </c>
      <c r="F22" s="11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4.25" x14ac:dyDescent="0.25">
      <c r="A23" s="59" t="s">
        <v>70</v>
      </c>
      <c r="B23" s="24"/>
      <c r="C23" s="82"/>
      <c r="D23" s="24"/>
      <c r="E23" s="55"/>
      <c r="F23" s="11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25" x14ac:dyDescent="0.25">
      <c r="A24" s="60" t="s">
        <v>71</v>
      </c>
      <c r="B24" s="24" t="s">
        <v>72</v>
      </c>
      <c r="C24" s="82" t="s">
        <v>72</v>
      </c>
      <c r="D24" s="24" t="s">
        <v>172</v>
      </c>
      <c r="E24" s="55"/>
      <c r="F24" s="11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4.25" x14ac:dyDescent="0.25">
      <c r="A25" s="58" t="s">
        <v>73</v>
      </c>
      <c r="B25" s="24" t="s">
        <v>74</v>
      </c>
      <c r="C25" s="82" t="s">
        <v>74</v>
      </c>
      <c r="D25" s="24"/>
      <c r="E25" s="55"/>
      <c r="F25" s="11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4.25" x14ac:dyDescent="0.25">
      <c r="A26" s="60" t="s">
        <v>75</v>
      </c>
      <c r="B26" s="25" t="s">
        <v>76</v>
      </c>
      <c r="C26" s="84" t="s">
        <v>76</v>
      </c>
      <c r="D26" s="25" t="s">
        <v>76</v>
      </c>
      <c r="E26" s="55"/>
      <c r="F26" s="11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28.5" x14ac:dyDescent="0.25">
      <c r="A27" s="60" t="s">
        <v>77</v>
      </c>
      <c r="B27" s="25" t="s">
        <v>78</v>
      </c>
      <c r="C27" s="84" t="s">
        <v>276</v>
      </c>
      <c r="D27" s="84" t="s">
        <v>276</v>
      </c>
      <c r="E27" s="55" t="s">
        <v>332</v>
      </c>
      <c r="F27" s="11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22" customFormat="1" ht="14.25" x14ac:dyDescent="0.25">
      <c r="A28" s="60" t="s">
        <v>335</v>
      </c>
      <c r="B28" s="25"/>
      <c r="C28" s="84" t="s">
        <v>336</v>
      </c>
      <c r="D28" s="84" t="s">
        <v>336</v>
      </c>
      <c r="E28" s="55" t="s">
        <v>332</v>
      </c>
      <c r="F28" s="11"/>
    </row>
    <row r="29" spans="1:31" s="3" customFormat="1" ht="14.25" x14ac:dyDescent="0.25">
      <c r="A29" s="59" t="s">
        <v>0</v>
      </c>
      <c r="B29" s="24"/>
      <c r="C29" s="84"/>
      <c r="D29" s="24"/>
      <c r="E29" s="55"/>
      <c r="F29" s="100"/>
    </row>
    <row r="30" spans="1:31" ht="32.25" customHeight="1" x14ac:dyDescent="0.25">
      <c r="A30" s="58" t="s">
        <v>79</v>
      </c>
      <c r="B30" s="55" t="s">
        <v>264</v>
      </c>
      <c r="C30" s="82" t="s">
        <v>264</v>
      </c>
      <c r="D30" s="24" t="s">
        <v>264</v>
      </c>
      <c r="E30" s="109" t="s">
        <v>324</v>
      </c>
      <c r="F30" s="11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33.75" customHeight="1" x14ac:dyDescent="0.25">
      <c r="A31" s="58" t="s">
        <v>80</v>
      </c>
      <c r="B31" s="24" t="s">
        <v>81</v>
      </c>
      <c r="C31" s="82" t="s">
        <v>277</v>
      </c>
      <c r="D31" s="24" t="s">
        <v>277</v>
      </c>
      <c r="E31" s="110"/>
      <c r="F31" s="11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8.75" customHeight="1" x14ac:dyDescent="0.25">
      <c r="A32" s="58" t="s">
        <v>82</v>
      </c>
      <c r="B32" s="24" t="s">
        <v>83</v>
      </c>
      <c r="C32" s="82" t="s">
        <v>83</v>
      </c>
      <c r="D32" s="24" t="s">
        <v>83</v>
      </c>
      <c r="E32" s="55" t="s">
        <v>324</v>
      </c>
      <c r="F32" s="1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8.75" customHeight="1" x14ac:dyDescent="0.25">
      <c r="A33" s="58" t="s">
        <v>14</v>
      </c>
      <c r="B33" s="26" t="s">
        <v>53</v>
      </c>
      <c r="C33" s="85" t="s">
        <v>278</v>
      </c>
      <c r="D33" s="26" t="s">
        <v>53</v>
      </c>
      <c r="E33" s="55" t="s">
        <v>324</v>
      </c>
      <c r="F33" s="11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5" customFormat="1" ht="40.5" customHeight="1" x14ac:dyDescent="0.25">
      <c r="A34" s="58" t="s">
        <v>84</v>
      </c>
      <c r="B34" s="24" t="s">
        <v>85</v>
      </c>
      <c r="C34" s="80" t="s">
        <v>279</v>
      </c>
      <c r="D34" s="62" t="s">
        <v>231</v>
      </c>
      <c r="E34" s="55" t="s">
        <v>232</v>
      </c>
      <c r="F34" s="102" t="s">
        <v>391</v>
      </c>
    </row>
    <row r="35" spans="1:31" s="5" customFormat="1" ht="28.5" x14ac:dyDescent="0.25">
      <c r="A35" s="58" t="s">
        <v>15</v>
      </c>
      <c r="B35" s="24" t="s">
        <v>86</v>
      </c>
      <c r="C35" s="82" t="s">
        <v>280</v>
      </c>
      <c r="D35" s="62" t="s">
        <v>280</v>
      </c>
      <c r="E35" s="55" t="s">
        <v>325</v>
      </c>
      <c r="F35" s="102" t="s">
        <v>392</v>
      </c>
    </row>
    <row r="36" spans="1:31" s="5" customFormat="1" ht="14.25" x14ac:dyDescent="0.25">
      <c r="A36" s="92" t="s">
        <v>337</v>
      </c>
      <c r="B36" s="24"/>
      <c r="C36" s="82" t="s">
        <v>281</v>
      </c>
      <c r="D36" s="82" t="s">
        <v>281</v>
      </c>
      <c r="E36" s="55"/>
      <c r="F36" s="11"/>
    </row>
    <row r="37" spans="1:31" s="5" customFormat="1" ht="28.5" x14ac:dyDescent="0.25">
      <c r="A37" s="58" t="s">
        <v>54</v>
      </c>
      <c r="B37" s="24" t="s">
        <v>166</v>
      </c>
      <c r="C37" s="82" t="s">
        <v>143</v>
      </c>
      <c r="D37" s="82" t="s">
        <v>143</v>
      </c>
      <c r="E37" s="55" t="s">
        <v>230</v>
      </c>
      <c r="F37" s="11"/>
    </row>
    <row r="38" spans="1:31" s="5" customFormat="1" ht="99.75" x14ac:dyDescent="0.25">
      <c r="A38" s="58" t="s">
        <v>87</v>
      </c>
      <c r="B38" s="24" t="s">
        <v>165</v>
      </c>
      <c r="C38" s="82" t="s">
        <v>282</v>
      </c>
      <c r="D38" s="82" t="s">
        <v>408</v>
      </c>
      <c r="E38" s="55" t="s">
        <v>407</v>
      </c>
      <c r="F38" s="11"/>
      <c r="G38" s="5">
        <f>25*0.6</f>
        <v>15</v>
      </c>
    </row>
    <row r="39" spans="1:31" ht="49.15" customHeight="1" x14ac:dyDescent="0.25">
      <c r="A39" s="58" t="s">
        <v>88</v>
      </c>
      <c r="B39" s="24" t="s">
        <v>167</v>
      </c>
      <c r="C39" s="82" t="s">
        <v>283</v>
      </c>
      <c r="D39" s="82" t="s">
        <v>409</v>
      </c>
      <c r="E39" s="55" t="s">
        <v>338</v>
      </c>
      <c r="F39" s="1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51" customHeight="1" x14ac:dyDescent="0.25">
      <c r="A40" s="58" t="s">
        <v>89</v>
      </c>
      <c r="B40" s="24" t="s">
        <v>168</v>
      </c>
      <c r="C40" s="82" t="s">
        <v>284</v>
      </c>
      <c r="D40" s="82" t="s">
        <v>410</v>
      </c>
      <c r="E40" s="55" t="s">
        <v>411</v>
      </c>
      <c r="F40" s="102" t="s">
        <v>393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4.25" x14ac:dyDescent="0.25">
      <c r="A41" s="58" t="s">
        <v>1</v>
      </c>
      <c r="B41" s="24"/>
      <c r="C41" s="11"/>
      <c r="D41" s="24"/>
      <c r="E41" s="55"/>
      <c r="F41" s="1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14.25" x14ac:dyDescent="0.25">
      <c r="A42" s="58" t="s">
        <v>2</v>
      </c>
      <c r="B42" s="24"/>
      <c r="C42" s="11"/>
      <c r="D42" s="24"/>
      <c r="E42" s="55"/>
      <c r="F42" s="1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4.25" x14ac:dyDescent="0.25">
      <c r="A43" s="58" t="s">
        <v>3</v>
      </c>
      <c r="B43" s="24"/>
      <c r="C43" s="82"/>
      <c r="D43" s="24"/>
      <c r="E43" s="55"/>
      <c r="F43" s="11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4.25" x14ac:dyDescent="0.25">
      <c r="A44" s="59" t="s">
        <v>4</v>
      </c>
      <c r="B44" s="27"/>
      <c r="C44" s="82"/>
      <c r="D44" s="27"/>
      <c r="E44" s="55"/>
      <c r="F44" s="11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3" customFormat="1" ht="28.5" x14ac:dyDescent="0.25">
      <c r="A45" s="58" t="s">
        <v>90</v>
      </c>
      <c r="B45" s="24" t="s">
        <v>265</v>
      </c>
      <c r="C45" s="80" t="s">
        <v>285</v>
      </c>
      <c r="D45" s="19" t="s">
        <v>339</v>
      </c>
      <c r="E45" s="76" t="s">
        <v>378</v>
      </c>
      <c r="F45" s="100"/>
    </row>
    <row r="46" spans="1:31" s="3" customFormat="1" ht="14.25" x14ac:dyDescent="0.25">
      <c r="A46" s="58" t="s">
        <v>91</v>
      </c>
      <c r="B46" s="24" t="s">
        <v>92</v>
      </c>
      <c r="C46" s="80" t="s">
        <v>286</v>
      </c>
      <c r="D46" s="19" t="s">
        <v>340</v>
      </c>
      <c r="E46" s="76" t="s">
        <v>379</v>
      </c>
      <c r="F46" s="100"/>
    </row>
    <row r="47" spans="1:31" s="3" customFormat="1" ht="71.25" x14ac:dyDescent="0.25">
      <c r="A47" s="58" t="s">
        <v>263</v>
      </c>
      <c r="B47" s="24" t="s">
        <v>256</v>
      </c>
      <c r="C47" s="80" t="s">
        <v>287</v>
      </c>
      <c r="D47" s="19" t="s">
        <v>341</v>
      </c>
      <c r="E47" s="76" t="s">
        <v>326</v>
      </c>
      <c r="F47" s="102" t="s">
        <v>394</v>
      </c>
    </row>
    <row r="48" spans="1:31" s="3" customFormat="1" ht="28.5" x14ac:dyDescent="0.25">
      <c r="A48" s="92" t="s">
        <v>342</v>
      </c>
      <c r="B48" s="24"/>
      <c r="C48" s="80" t="s">
        <v>288</v>
      </c>
      <c r="D48" s="19" t="s">
        <v>344</v>
      </c>
      <c r="E48" s="76" t="s">
        <v>380</v>
      </c>
      <c r="F48" s="102" t="s">
        <v>395</v>
      </c>
    </row>
    <row r="49" spans="1:31" s="3" customFormat="1" ht="28.5" x14ac:dyDescent="0.25">
      <c r="A49" s="58" t="s">
        <v>93</v>
      </c>
      <c r="B49" s="24" t="s">
        <v>94</v>
      </c>
      <c r="C49" s="80" t="s">
        <v>289</v>
      </c>
      <c r="D49" s="81" t="s">
        <v>343</v>
      </c>
      <c r="E49" s="76" t="s">
        <v>381</v>
      </c>
      <c r="F49" s="102" t="s">
        <v>395</v>
      </c>
    </row>
    <row r="50" spans="1:31" ht="14.25" x14ac:dyDescent="0.25">
      <c r="A50" s="58" t="s">
        <v>18</v>
      </c>
      <c r="B50" s="26" t="s">
        <v>55</v>
      </c>
      <c r="C50" s="85" t="s">
        <v>55</v>
      </c>
      <c r="D50" s="26" t="s">
        <v>55</v>
      </c>
      <c r="E50" s="55" t="s">
        <v>324</v>
      </c>
      <c r="F50" s="102" t="s">
        <v>395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71.25" x14ac:dyDescent="0.25">
      <c r="A51" s="58" t="s">
        <v>95</v>
      </c>
      <c r="B51" s="24" t="s">
        <v>85</v>
      </c>
      <c r="C51" s="82" t="s">
        <v>290</v>
      </c>
      <c r="D51" s="55" t="s">
        <v>85</v>
      </c>
      <c r="E51" s="55" t="s">
        <v>261</v>
      </c>
      <c r="F51" s="102" t="s">
        <v>394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14.25" x14ac:dyDescent="0.25">
      <c r="A52" s="58" t="s">
        <v>96</v>
      </c>
      <c r="B52" s="26" t="s">
        <v>97</v>
      </c>
      <c r="C52" s="85" t="s">
        <v>291</v>
      </c>
      <c r="D52" s="103" t="s">
        <v>291</v>
      </c>
      <c r="E52" s="55"/>
      <c r="F52" s="102" t="s">
        <v>396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28.5" x14ac:dyDescent="0.25">
      <c r="A53" s="58" t="s">
        <v>98</v>
      </c>
      <c r="B53" s="26" t="s">
        <v>99</v>
      </c>
      <c r="C53" s="85" t="s">
        <v>101</v>
      </c>
      <c r="D53" s="90" t="s">
        <v>397</v>
      </c>
      <c r="E53" s="55" t="s">
        <v>399</v>
      </c>
      <c r="F53" s="11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28.5" x14ac:dyDescent="0.25">
      <c r="A54" s="58" t="s">
        <v>100</v>
      </c>
      <c r="B54" s="26" t="s">
        <v>101</v>
      </c>
      <c r="C54" s="85" t="s">
        <v>104</v>
      </c>
      <c r="D54" s="90" t="s">
        <v>398</v>
      </c>
      <c r="E54" s="55" t="s">
        <v>399</v>
      </c>
      <c r="F54" s="11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28.5" x14ac:dyDescent="0.25">
      <c r="A55" s="58" t="s">
        <v>102</v>
      </c>
      <c r="B55" s="26" t="s">
        <v>101</v>
      </c>
      <c r="C55" s="85" t="s">
        <v>104</v>
      </c>
      <c r="D55" s="90" t="s">
        <v>398</v>
      </c>
      <c r="E55" s="55"/>
      <c r="F55" s="11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28.5" x14ac:dyDescent="0.25">
      <c r="A56" s="58" t="s">
        <v>103</v>
      </c>
      <c r="B56" s="26" t="s">
        <v>109</v>
      </c>
      <c r="C56" s="85" t="s">
        <v>109</v>
      </c>
      <c r="D56" s="26" t="s">
        <v>401</v>
      </c>
      <c r="E56" s="55" t="s">
        <v>400</v>
      </c>
      <c r="F56" s="11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28.5" x14ac:dyDescent="0.25">
      <c r="A57" s="58" t="s">
        <v>105</v>
      </c>
      <c r="B57" s="26" t="s">
        <v>101</v>
      </c>
      <c r="C57" s="85" t="s">
        <v>292</v>
      </c>
      <c r="D57" s="90" t="s">
        <v>398</v>
      </c>
      <c r="E57" s="55"/>
      <c r="F57" s="11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28.5" x14ac:dyDescent="0.25">
      <c r="A58" s="58" t="s">
        <v>106</v>
      </c>
      <c r="B58" s="26" t="s">
        <v>104</v>
      </c>
      <c r="C58" s="85" t="s">
        <v>109</v>
      </c>
      <c r="D58" s="26" t="s">
        <v>401</v>
      </c>
      <c r="E58" s="55" t="s">
        <v>156</v>
      </c>
      <c r="F58" s="11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28.5" x14ac:dyDescent="0.25">
      <c r="A59" s="58" t="s">
        <v>107</v>
      </c>
      <c r="B59" s="24" t="s">
        <v>104</v>
      </c>
      <c r="C59" s="82" t="s">
        <v>109</v>
      </c>
      <c r="D59" s="26" t="s">
        <v>401</v>
      </c>
      <c r="E59" s="55"/>
      <c r="F59" s="11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28.5" x14ac:dyDescent="0.25">
      <c r="A60" s="58" t="s">
        <v>108</v>
      </c>
      <c r="B60" s="24" t="s">
        <v>109</v>
      </c>
      <c r="C60" s="82" t="s">
        <v>293</v>
      </c>
      <c r="D60" s="90" t="s">
        <v>402</v>
      </c>
      <c r="E60" s="55"/>
      <c r="F60" s="11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28.5" x14ac:dyDescent="0.25">
      <c r="A61" s="17" t="s">
        <v>155</v>
      </c>
      <c r="B61" s="24"/>
      <c r="C61" s="82"/>
      <c r="D61" s="24"/>
      <c r="E61" s="55"/>
      <c r="F61" s="11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28.5" x14ac:dyDescent="0.25">
      <c r="A62" s="17" t="s">
        <v>110</v>
      </c>
      <c r="B62" s="24" t="s">
        <v>111</v>
      </c>
      <c r="C62" s="85"/>
      <c r="D62" s="90" t="s">
        <v>327</v>
      </c>
      <c r="E62" s="55" t="s">
        <v>399</v>
      </c>
      <c r="F62" s="11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28.5" x14ac:dyDescent="0.25">
      <c r="A63" s="17" t="s">
        <v>112</v>
      </c>
      <c r="B63" s="24" t="s">
        <v>113</v>
      </c>
      <c r="C63" s="85"/>
      <c r="D63" s="90" t="s">
        <v>403</v>
      </c>
      <c r="E63" s="55" t="s">
        <v>399</v>
      </c>
      <c r="F63" s="11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ht="28.5" x14ac:dyDescent="0.25">
      <c r="A64" s="17" t="s">
        <v>114</v>
      </c>
      <c r="B64" s="24" t="s">
        <v>115</v>
      </c>
      <c r="C64" s="85"/>
      <c r="D64" s="24" t="s">
        <v>405</v>
      </c>
      <c r="E64" s="76" t="s">
        <v>404</v>
      </c>
      <c r="F64" s="11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28.5" x14ac:dyDescent="0.25">
      <c r="A65" s="17" t="s">
        <v>116</v>
      </c>
      <c r="B65" s="24" t="s">
        <v>117</v>
      </c>
      <c r="C65" s="82"/>
      <c r="D65" s="24" t="s">
        <v>117</v>
      </c>
      <c r="E65" s="55" t="s">
        <v>324</v>
      </c>
      <c r="F65" s="11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22" customFormat="1" ht="14.25" x14ac:dyDescent="0.25">
      <c r="A66" s="17" t="s">
        <v>412</v>
      </c>
      <c r="B66" s="24"/>
      <c r="C66" s="89" t="s">
        <v>413</v>
      </c>
      <c r="D66" s="24" t="s">
        <v>414</v>
      </c>
      <c r="E66" s="55"/>
      <c r="F66" s="11" t="s">
        <v>415</v>
      </c>
    </row>
    <row r="67" spans="1:31" ht="14.25" x14ac:dyDescent="0.25">
      <c r="A67" s="59" t="s">
        <v>5</v>
      </c>
      <c r="B67" s="27"/>
      <c r="C67" s="82"/>
      <c r="D67" s="27"/>
      <c r="E67" s="55"/>
      <c r="F67" s="11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s="22" customFormat="1" ht="42.75" x14ac:dyDescent="0.25">
      <c r="A68" s="60" t="s">
        <v>345</v>
      </c>
      <c r="B68" s="27"/>
      <c r="C68" s="80" t="s">
        <v>294</v>
      </c>
      <c r="D68" s="24" t="s">
        <v>377</v>
      </c>
      <c r="E68" s="94" t="s">
        <v>406</v>
      </c>
      <c r="F68" s="11"/>
    </row>
    <row r="69" spans="1:31" ht="14.25" customHeight="1" x14ac:dyDescent="0.25">
      <c r="A69" s="58" t="s">
        <v>19</v>
      </c>
      <c r="B69" s="24" t="s">
        <v>62</v>
      </c>
      <c r="C69" s="80" t="s">
        <v>143</v>
      </c>
      <c r="D69" s="24" t="s">
        <v>143</v>
      </c>
      <c r="E69" s="93"/>
      <c r="F69" s="11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4.25" customHeight="1" x14ac:dyDescent="0.25">
      <c r="A70" s="58" t="s">
        <v>6</v>
      </c>
      <c r="B70" s="24" t="s">
        <v>160</v>
      </c>
      <c r="C70" s="82" t="s">
        <v>295</v>
      </c>
      <c r="D70" s="82" t="s">
        <v>295</v>
      </c>
      <c r="E70" s="95"/>
      <c r="F70" s="11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s="22" customFormat="1" ht="14.25" customHeight="1" x14ac:dyDescent="0.25">
      <c r="A71" s="58" t="s">
        <v>346</v>
      </c>
      <c r="B71" s="24"/>
      <c r="C71" s="80" t="s">
        <v>143</v>
      </c>
      <c r="D71" s="24" t="s">
        <v>143</v>
      </c>
      <c r="E71" s="95"/>
      <c r="F71" s="11"/>
    </row>
    <row r="72" spans="1:31" ht="63" customHeight="1" x14ac:dyDescent="0.25">
      <c r="A72" s="16" t="s">
        <v>347</v>
      </c>
      <c r="B72" s="24" t="s">
        <v>118</v>
      </c>
      <c r="C72" s="82" t="s">
        <v>296</v>
      </c>
      <c r="D72" s="82" t="s">
        <v>353</v>
      </c>
      <c r="E72" s="95" t="s">
        <v>382</v>
      </c>
      <c r="F72" s="102" t="s">
        <v>419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63" customHeight="1" x14ac:dyDescent="0.25">
      <c r="A73" s="16" t="s">
        <v>348</v>
      </c>
      <c r="B73" s="24" t="s">
        <v>143</v>
      </c>
      <c r="C73" s="82" t="s">
        <v>297</v>
      </c>
      <c r="D73" s="82" t="s">
        <v>354</v>
      </c>
      <c r="E73" s="95" t="s">
        <v>383</v>
      </c>
      <c r="F73" s="11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s="22" customFormat="1" ht="63" customHeight="1" x14ac:dyDescent="0.25">
      <c r="A74" s="16" t="s">
        <v>349</v>
      </c>
      <c r="B74" s="24" t="s">
        <v>143</v>
      </c>
      <c r="C74" s="82" t="s">
        <v>298</v>
      </c>
      <c r="D74" s="82" t="s">
        <v>356</v>
      </c>
      <c r="E74" s="95" t="s">
        <v>383</v>
      </c>
      <c r="F74" s="11"/>
    </row>
    <row r="75" spans="1:31" s="22" customFormat="1" ht="63" customHeight="1" x14ac:dyDescent="0.25">
      <c r="A75" s="16" t="s">
        <v>350</v>
      </c>
      <c r="B75" s="24" t="s">
        <v>143</v>
      </c>
      <c r="C75" s="82" t="s">
        <v>299</v>
      </c>
      <c r="D75" s="82" t="s">
        <v>296</v>
      </c>
      <c r="E75" s="95" t="s">
        <v>382</v>
      </c>
      <c r="F75" s="11"/>
    </row>
    <row r="76" spans="1:31" s="22" customFormat="1" ht="63" customHeight="1" x14ac:dyDescent="0.25">
      <c r="A76" s="16" t="s">
        <v>351</v>
      </c>
      <c r="B76" s="24" t="s">
        <v>143</v>
      </c>
      <c r="C76" s="82" t="s">
        <v>300</v>
      </c>
      <c r="D76" s="82" t="s">
        <v>355</v>
      </c>
      <c r="E76" s="95" t="s">
        <v>384</v>
      </c>
      <c r="F76" s="11"/>
    </row>
    <row r="77" spans="1:31" s="22" customFormat="1" ht="63" customHeight="1" x14ac:dyDescent="0.25">
      <c r="A77" s="16" t="s">
        <v>352</v>
      </c>
      <c r="B77" s="24" t="s">
        <v>143</v>
      </c>
      <c r="C77" s="82" t="s">
        <v>301</v>
      </c>
      <c r="D77" s="82" t="s">
        <v>357</v>
      </c>
      <c r="E77" s="95" t="s">
        <v>384</v>
      </c>
      <c r="F77" s="11"/>
    </row>
    <row r="78" spans="1:31" ht="14.25" x14ac:dyDescent="0.25">
      <c r="A78" s="59" t="s">
        <v>20</v>
      </c>
      <c r="B78" s="24"/>
      <c r="C78" s="24"/>
      <c r="D78" s="24"/>
      <c r="E78" s="56"/>
      <c r="F78" s="11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s="22" customFormat="1" ht="57" x14ac:dyDescent="0.25">
      <c r="A79" s="15" t="s">
        <v>358</v>
      </c>
      <c r="B79" s="24" t="s">
        <v>143</v>
      </c>
      <c r="C79" s="86" t="s">
        <v>302</v>
      </c>
      <c r="D79" s="96" t="s">
        <v>302</v>
      </c>
      <c r="E79" s="92" t="s">
        <v>359</v>
      </c>
      <c r="F79" s="11"/>
    </row>
    <row r="80" spans="1:31" ht="57" x14ac:dyDescent="0.25">
      <c r="A80" s="60" t="s">
        <v>56</v>
      </c>
      <c r="B80" s="91">
        <v>1.9999999999999999E-6</v>
      </c>
      <c r="C80" s="84">
        <v>5.0000000000000002E-5</v>
      </c>
      <c r="D80" s="91">
        <v>5.0000000000000002E-5</v>
      </c>
      <c r="E80" s="92" t="s">
        <v>360</v>
      </c>
      <c r="F80" s="11"/>
      <c r="G80" s="22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82.25" customHeight="1" x14ac:dyDescent="0.25">
      <c r="A81" s="60" t="s">
        <v>32</v>
      </c>
      <c r="B81" s="91">
        <v>1.0000000000000001E-5</v>
      </c>
      <c r="C81" s="84" t="s">
        <v>303</v>
      </c>
      <c r="D81" s="91" t="s">
        <v>303</v>
      </c>
      <c r="E81" s="92" t="s">
        <v>361</v>
      </c>
      <c r="F81" s="11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s="22" customFormat="1" ht="182.25" customHeight="1" x14ac:dyDescent="0.25">
      <c r="A82" s="97" t="s">
        <v>362</v>
      </c>
      <c r="B82" s="91" t="s">
        <v>143</v>
      </c>
      <c r="C82" s="87" t="s">
        <v>304</v>
      </c>
      <c r="D82" s="98" t="s">
        <v>366</v>
      </c>
      <c r="E82" s="80" t="s">
        <v>385</v>
      </c>
      <c r="F82" s="102" t="s">
        <v>420</v>
      </c>
    </row>
    <row r="83" spans="1:31" s="22" customFormat="1" ht="182.25" customHeight="1" x14ac:dyDescent="0.25">
      <c r="A83" s="97" t="s">
        <v>363</v>
      </c>
      <c r="B83" s="91" t="s">
        <v>143</v>
      </c>
      <c r="C83" s="87" t="s">
        <v>305</v>
      </c>
      <c r="D83" s="91" t="s">
        <v>143</v>
      </c>
      <c r="E83" s="80" t="s">
        <v>385</v>
      </c>
      <c r="F83" s="11"/>
    </row>
    <row r="84" spans="1:31" s="22" customFormat="1" ht="182.25" customHeight="1" x14ac:dyDescent="0.25">
      <c r="A84" s="97" t="s">
        <v>364</v>
      </c>
      <c r="B84" s="91" t="s">
        <v>143</v>
      </c>
      <c r="C84" s="87" t="s">
        <v>306</v>
      </c>
      <c r="D84" s="98" t="s">
        <v>367</v>
      </c>
      <c r="E84" s="80" t="s">
        <v>385</v>
      </c>
      <c r="F84" s="11"/>
    </row>
    <row r="85" spans="1:31" s="22" customFormat="1" ht="182.25" customHeight="1" x14ac:dyDescent="0.25">
      <c r="A85" s="97" t="s">
        <v>365</v>
      </c>
      <c r="B85" s="91" t="s">
        <v>143</v>
      </c>
      <c r="C85" s="87" t="s">
        <v>143</v>
      </c>
      <c r="D85" s="98" t="s">
        <v>143</v>
      </c>
      <c r="E85" s="80" t="s">
        <v>385</v>
      </c>
      <c r="F85" s="11"/>
    </row>
    <row r="86" spans="1:31" ht="14.25" x14ac:dyDescent="0.25">
      <c r="A86" s="17" t="s">
        <v>119</v>
      </c>
      <c r="B86" s="24" t="s">
        <v>120</v>
      </c>
      <c r="C86" s="24" t="s">
        <v>143</v>
      </c>
      <c r="D86" s="81" t="s">
        <v>143</v>
      </c>
      <c r="E86" s="80" t="s">
        <v>385</v>
      </c>
      <c r="F86" s="11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4.25" x14ac:dyDescent="0.25">
      <c r="A87" s="17" t="s">
        <v>121</v>
      </c>
      <c r="B87" s="24" t="s">
        <v>122</v>
      </c>
      <c r="C87" s="24" t="s">
        <v>143</v>
      </c>
      <c r="D87" s="81" t="s">
        <v>143</v>
      </c>
      <c r="E87" s="80" t="s">
        <v>385</v>
      </c>
      <c r="F87" s="11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69" customHeight="1" x14ac:dyDescent="0.25">
      <c r="A88" s="92" t="s">
        <v>368</v>
      </c>
      <c r="B88" s="24" t="s">
        <v>123</v>
      </c>
      <c r="C88" s="80" t="s">
        <v>369</v>
      </c>
      <c r="D88" s="19" t="s">
        <v>369</v>
      </c>
      <c r="E88" s="80" t="s">
        <v>385</v>
      </c>
      <c r="F88" s="11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69" customHeight="1" x14ac:dyDescent="0.25">
      <c r="A89" s="92" t="s">
        <v>370</v>
      </c>
      <c r="B89" s="24" t="s">
        <v>124</v>
      </c>
      <c r="C89" s="80" t="s">
        <v>307</v>
      </c>
      <c r="D89" s="19" t="s">
        <v>307</v>
      </c>
      <c r="E89" s="80" t="s">
        <v>385</v>
      </c>
      <c r="F89" s="11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s="22" customFormat="1" ht="47.25" customHeight="1" x14ac:dyDescent="0.25">
      <c r="A90" s="92" t="s">
        <v>371</v>
      </c>
      <c r="B90" s="80" t="s">
        <v>305</v>
      </c>
      <c r="C90" s="80" t="s">
        <v>305</v>
      </c>
      <c r="D90" s="80" t="s">
        <v>305</v>
      </c>
      <c r="E90" s="80" t="s">
        <v>385</v>
      </c>
      <c r="F90" s="11"/>
    </row>
    <row r="91" spans="1:31" s="22" customFormat="1" ht="42.75" customHeight="1" x14ac:dyDescent="0.25">
      <c r="A91" s="92" t="s">
        <v>372</v>
      </c>
      <c r="B91" s="80" t="s">
        <v>305</v>
      </c>
      <c r="C91" s="80" t="s">
        <v>305</v>
      </c>
      <c r="D91" s="80" t="s">
        <v>305</v>
      </c>
      <c r="E91" s="80" t="s">
        <v>385</v>
      </c>
      <c r="F91" s="11"/>
    </row>
    <row r="92" spans="1:31" ht="42.75" x14ac:dyDescent="0.25">
      <c r="A92" s="58" t="s">
        <v>125</v>
      </c>
      <c r="B92" s="24" t="s">
        <v>126</v>
      </c>
      <c r="C92" s="80" t="s">
        <v>308</v>
      </c>
      <c r="D92" s="19" t="s">
        <v>308</v>
      </c>
      <c r="E92" s="57" t="s">
        <v>421</v>
      </c>
      <c r="F92" s="11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57" x14ac:dyDescent="0.25">
      <c r="A93" s="58" t="s">
        <v>127</v>
      </c>
      <c r="B93" s="24" t="s">
        <v>128</v>
      </c>
      <c r="C93" s="80" t="s">
        <v>309</v>
      </c>
      <c r="D93" s="19" t="s">
        <v>309</v>
      </c>
      <c r="E93" s="80" t="s">
        <v>385</v>
      </c>
      <c r="F93" s="11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57" x14ac:dyDescent="0.25">
      <c r="A94" s="58" t="s">
        <v>57</v>
      </c>
      <c r="B94" s="81" t="s">
        <v>129</v>
      </c>
      <c r="C94" s="80" t="s">
        <v>310</v>
      </c>
      <c r="D94" s="104" t="s">
        <v>310</v>
      </c>
      <c r="E94" s="57" t="s">
        <v>386</v>
      </c>
      <c r="F94" s="101" t="s">
        <v>422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62.25" customHeight="1" x14ac:dyDescent="0.25">
      <c r="A95" s="58" t="s">
        <v>58</v>
      </c>
      <c r="B95" s="24" t="s">
        <v>130</v>
      </c>
      <c r="C95" s="80" t="s">
        <v>311</v>
      </c>
      <c r="D95" s="19" t="s">
        <v>311</v>
      </c>
      <c r="E95" s="80" t="s">
        <v>385</v>
      </c>
      <c r="F95" s="11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314.25" x14ac:dyDescent="0.25">
      <c r="A96" s="58" t="s">
        <v>41</v>
      </c>
      <c r="B96" s="24" t="s">
        <v>42</v>
      </c>
      <c r="C96" s="80" t="s">
        <v>312</v>
      </c>
      <c r="D96" s="19" t="s">
        <v>373</v>
      </c>
      <c r="E96" s="80" t="s">
        <v>387</v>
      </c>
      <c r="F96" s="102" t="s">
        <v>423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85.5" x14ac:dyDescent="0.25">
      <c r="A97" s="58" t="s">
        <v>43</v>
      </c>
      <c r="B97" s="28" t="s">
        <v>44</v>
      </c>
      <c r="C97" s="88" t="s">
        <v>313</v>
      </c>
      <c r="D97" s="99" t="s">
        <v>313</v>
      </c>
      <c r="E97" s="80" t="s">
        <v>385</v>
      </c>
      <c r="F97" s="11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57" x14ac:dyDescent="0.25">
      <c r="A98" s="58" t="s">
        <v>59</v>
      </c>
      <c r="B98" s="24" t="s">
        <v>60</v>
      </c>
      <c r="C98" s="80" t="s">
        <v>314</v>
      </c>
      <c r="D98" s="19" t="s">
        <v>314</v>
      </c>
      <c r="E98" s="80" t="s">
        <v>385</v>
      </c>
      <c r="F98" s="11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4.25" x14ac:dyDescent="0.25">
      <c r="A99" s="59" t="s">
        <v>7</v>
      </c>
      <c r="B99" s="24"/>
      <c r="C99" s="24"/>
      <c r="D99" s="24"/>
      <c r="E99" s="56"/>
      <c r="F99" s="11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93" customHeight="1" x14ac:dyDescent="0.25">
      <c r="A100" s="60" t="s">
        <v>33</v>
      </c>
      <c r="B100" s="24" t="s">
        <v>170</v>
      </c>
      <c r="C100" s="82" t="s">
        <v>315</v>
      </c>
      <c r="D100" s="62" t="s">
        <v>254</v>
      </c>
      <c r="E100" s="55" t="s">
        <v>255</v>
      </c>
      <c r="F100" s="102" t="s">
        <v>425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57" x14ac:dyDescent="0.25">
      <c r="A101" s="58" t="s">
        <v>151</v>
      </c>
      <c r="B101" s="24" t="s">
        <v>149</v>
      </c>
      <c r="C101" s="82" t="s">
        <v>316</v>
      </c>
      <c r="D101" s="62" t="s">
        <v>376</v>
      </c>
      <c r="E101" s="57" t="s">
        <v>226</v>
      </c>
      <c r="F101" s="102" t="s">
        <v>424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42.75" x14ac:dyDescent="0.25">
      <c r="A102" s="58" t="s">
        <v>152</v>
      </c>
      <c r="B102" s="24" t="s">
        <v>159</v>
      </c>
      <c r="C102" s="80" t="s">
        <v>317</v>
      </c>
      <c r="D102" s="62" t="s">
        <v>376</v>
      </c>
      <c r="E102" s="57" t="s">
        <v>226</v>
      </c>
      <c r="F102" s="102" t="s">
        <v>424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42.75" x14ac:dyDescent="0.25">
      <c r="A103" s="58" t="s">
        <v>21</v>
      </c>
      <c r="B103" s="24" t="s">
        <v>142</v>
      </c>
      <c r="C103" s="80" t="s">
        <v>318</v>
      </c>
      <c r="D103" s="62" t="s">
        <v>376</v>
      </c>
      <c r="E103" s="57" t="s">
        <v>226</v>
      </c>
      <c r="F103" s="102" t="s">
        <v>424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28.5" x14ac:dyDescent="0.25">
      <c r="A104" s="58" t="s">
        <v>161</v>
      </c>
      <c r="B104" s="24" t="s">
        <v>131</v>
      </c>
      <c r="C104" s="24" t="s">
        <v>131</v>
      </c>
      <c r="D104" s="24" t="s">
        <v>222</v>
      </c>
      <c r="E104" s="55" t="s">
        <v>388</v>
      </c>
      <c r="F104" s="11" t="s">
        <v>426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s="22" customFormat="1" ht="28.5" x14ac:dyDescent="0.25">
      <c r="A105" s="58" t="s">
        <v>162</v>
      </c>
      <c r="B105" s="24" t="s">
        <v>163</v>
      </c>
      <c r="C105" s="24" t="s">
        <v>163</v>
      </c>
      <c r="D105" s="24" t="s">
        <v>222</v>
      </c>
      <c r="E105" s="55" t="s">
        <v>388</v>
      </c>
      <c r="F105" s="11" t="s">
        <v>426</v>
      </c>
    </row>
    <row r="106" spans="1:31" ht="50.25" customHeight="1" x14ac:dyDescent="0.25">
      <c r="A106" s="58" t="s">
        <v>150</v>
      </c>
      <c r="B106" s="24" t="s">
        <v>154</v>
      </c>
      <c r="C106" s="24" t="s">
        <v>154</v>
      </c>
      <c r="D106" s="24" t="s">
        <v>222</v>
      </c>
      <c r="E106" s="55" t="s">
        <v>388</v>
      </c>
      <c r="F106" s="11" t="s">
        <v>426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28.5" x14ac:dyDescent="0.25">
      <c r="A107" s="58" t="s">
        <v>22</v>
      </c>
      <c r="B107" s="24" t="s">
        <v>132</v>
      </c>
      <c r="C107" s="24" t="s">
        <v>132</v>
      </c>
      <c r="D107" s="24" t="s">
        <v>222</v>
      </c>
      <c r="E107" s="55" t="s">
        <v>388</v>
      </c>
      <c r="F107" s="11" t="s">
        <v>426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28.5" x14ac:dyDescent="0.25">
      <c r="A108" s="58" t="s">
        <v>133</v>
      </c>
      <c r="B108" s="24" t="s">
        <v>134</v>
      </c>
      <c r="C108" s="24" t="s">
        <v>134</v>
      </c>
      <c r="D108" s="24" t="s">
        <v>227</v>
      </c>
      <c r="E108" s="55" t="s">
        <v>228</v>
      </c>
      <c r="F108" s="11" t="s">
        <v>426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25">
      <c r="A109" s="33" t="s">
        <v>34</v>
      </c>
      <c r="B109" s="34"/>
      <c r="C109" s="34"/>
      <c r="D109" s="34"/>
      <c r="E109" s="11"/>
      <c r="F109" s="11"/>
    </row>
    <row r="110" spans="1:31" x14ac:dyDescent="0.25">
      <c r="A110" s="32" t="s">
        <v>35</v>
      </c>
      <c r="B110" s="31" t="s">
        <v>140</v>
      </c>
      <c r="C110" s="82" t="s">
        <v>319</v>
      </c>
      <c r="D110" s="81" t="s">
        <v>319</v>
      </c>
      <c r="E110" s="11"/>
      <c r="F110" s="11"/>
    </row>
    <row r="111" spans="1:31" x14ac:dyDescent="0.25">
      <c r="A111" s="32" t="s">
        <v>36</v>
      </c>
      <c r="B111" s="31" t="s">
        <v>140</v>
      </c>
      <c r="C111" s="82" t="s">
        <v>320</v>
      </c>
      <c r="D111" s="81" t="s">
        <v>320</v>
      </c>
      <c r="E111" s="11"/>
      <c r="F111" s="11"/>
    </row>
    <row r="112" spans="1:31" x14ac:dyDescent="0.25">
      <c r="A112" s="32" t="s">
        <v>37</v>
      </c>
      <c r="B112" s="31" t="s">
        <v>140</v>
      </c>
      <c r="C112" s="82" t="s">
        <v>25</v>
      </c>
      <c r="D112" s="81" t="s">
        <v>25</v>
      </c>
      <c r="E112" s="11"/>
      <c r="F112" s="11"/>
    </row>
    <row r="113" spans="1:31" x14ac:dyDescent="0.25">
      <c r="A113" s="32" t="s">
        <v>38</v>
      </c>
      <c r="B113" s="31" t="s">
        <v>140</v>
      </c>
      <c r="C113" s="82" t="s">
        <v>25</v>
      </c>
      <c r="D113" s="81" t="s">
        <v>25</v>
      </c>
      <c r="E113" s="11"/>
      <c r="F113" s="11"/>
    </row>
    <row r="114" spans="1:31" x14ac:dyDescent="0.25">
      <c r="A114" s="32" t="s">
        <v>39</v>
      </c>
      <c r="B114" s="31" t="s">
        <v>140</v>
      </c>
      <c r="C114" s="82" t="s">
        <v>25</v>
      </c>
      <c r="D114" s="81" t="s">
        <v>25</v>
      </c>
      <c r="E114" s="11"/>
      <c r="F114" s="11"/>
    </row>
    <row r="115" spans="1:31" x14ac:dyDescent="0.25">
      <c r="A115" s="18" t="s">
        <v>40</v>
      </c>
      <c r="B115" s="24"/>
      <c r="C115" s="12"/>
      <c r="D115" s="24"/>
      <c r="E115" s="11"/>
      <c r="F115" s="11"/>
    </row>
    <row r="116" spans="1:31" ht="15" customHeight="1" x14ac:dyDescent="0.25">
      <c r="A116" s="16" t="s">
        <v>374</v>
      </c>
      <c r="B116" s="113" t="s">
        <v>143</v>
      </c>
      <c r="C116" s="111" t="s">
        <v>321</v>
      </c>
      <c r="D116" s="113" t="s">
        <v>321</v>
      </c>
      <c r="E116" s="11"/>
      <c r="F116" s="11"/>
    </row>
    <row r="117" spans="1:31" ht="15" customHeight="1" x14ac:dyDescent="0.25">
      <c r="A117" s="16" t="s">
        <v>375</v>
      </c>
      <c r="B117" s="114"/>
      <c r="C117" s="112"/>
      <c r="D117" s="114"/>
      <c r="E117" s="11"/>
      <c r="F117" s="11"/>
    </row>
    <row r="118" spans="1:31" ht="14.25" x14ac:dyDescent="0.25">
      <c r="A118" s="14" t="s">
        <v>8</v>
      </c>
      <c r="B118" s="24"/>
      <c r="C118" s="12"/>
      <c r="D118" s="24"/>
      <c r="E118" s="11"/>
      <c r="F118" s="11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ht="42.75" x14ac:dyDescent="0.25">
      <c r="A119" s="16" t="s">
        <v>23</v>
      </c>
      <c r="B119" s="24" t="s">
        <v>135</v>
      </c>
      <c r="C119" s="12" t="s">
        <v>135</v>
      </c>
      <c r="D119" s="81" t="s">
        <v>135</v>
      </c>
      <c r="E119" s="11"/>
      <c r="F119" s="11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s="5" customFormat="1" ht="42.75" x14ac:dyDescent="0.25">
      <c r="A120" s="16" t="s">
        <v>136</v>
      </c>
      <c r="B120" s="24" t="s">
        <v>137</v>
      </c>
      <c r="C120" s="12" t="s">
        <v>137</v>
      </c>
      <c r="D120" s="81" t="s">
        <v>137</v>
      </c>
      <c r="E120" s="11"/>
      <c r="F120" s="102" t="s">
        <v>427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5">
      <c r="A121" s="16" t="s">
        <v>138</v>
      </c>
      <c r="B121" s="24" t="s">
        <v>139</v>
      </c>
      <c r="C121" s="12" t="s">
        <v>139</v>
      </c>
      <c r="D121" s="81" t="s">
        <v>139</v>
      </c>
      <c r="E121" s="11"/>
      <c r="F121" s="11"/>
    </row>
    <row r="122" spans="1:31" ht="39" customHeight="1" x14ac:dyDescent="0.25"/>
    <row r="124" spans="1:31" x14ac:dyDescent="0.25">
      <c r="A124" s="3" t="s">
        <v>417</v>
      </c>
    </row>
    <row r="143" ht="13.5" customHeight="1" x14ac:dyDescent="0.25"/>
  </sheetData>
  <mergeCells count="6">
    <mergeCell ref="E3:E4"/>
    <mergeCell ref="E13:E14"/>
    <mergeCell ref="E30:E31"/>
    <mergeCell ref="C116:C117"/>
    <mergeCell ref="B116:B117"/>
    <mergeCell ref="D116:D117"/>
  </mergeCells>
  <pageMargins left="0.25" right="0.25" top="0.75" bottom="0.75" header="0.3" footer="0.3"/>
  <pageSetup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topLeftCell="A2" workbookViewId="0">
      <selection activeCell="P24" sqref="P24"/>
    </sheetView>
  </sheetViews>
  <sheetFormatPr defaultRowHeight="15" x14ac:dyDescent="0.25"/>
  <cols>
    <col min="1" max="1" width="8.42578125" style="21" customWidth="1"/>
    <col min="3" max="3" width="5.140625" customWidth="1"/>
    <col min="5" max="5" width="2.140625" style="21" customWidth="1"/>
    <col min="8" max="8" width="12.85546875" customWidth="1"/>
    <col min="13" max="13" width="5.5703125" customWidth="1"/>
    <col min="18" max="18" width="14.42578125" customWidth="1"/>
  </cols>
  <sheetData>
    <row r="2" spans="2:18" ht="15.75" thickBot="1" x14ac:dyDescent="0.3"/>
    <row r="3" spans="2:18" ht="15.75" thickBot="1" x14ac:dyDescent="0.3">
      <c r="B3" s="79"/>
      <c r="C3" s="78" t="s">
        <v>242</v>
      </c>
      <c r="D3" s="72"/>
      <c r="E3" s="73"/>
      <c r="L3" s="77"/>
      <c r="M3" s="78" t="s">
        <v>243</v>
      </c>
      <c r="N3" s="73"/>
      <c r="O3" s="21"/>
      <c r="P3" s="21"/>
      <c r="Q3" s="21"/>
      <c r="R3" s="21"/>
    </row>
    <row r="4" spans="2:18" s="21" customFormat="1" x14ac:dyDescent="0.25">
      <c r="C4" s="68"/>
      <c r="M4" s="68"/>
    </row>
    <row r="5" spans="2:18" s="21" customFormat="1" x14ac:dyDescent="0.25">
      <c r="C5" s="6"/>
      <c r="F5" s="71"/>
      <c r="L5" s="6"/>
      <c r="M5" s="6"/>
      <c r="N5" s="6"/>
    </row>
    <row r="6" spans="2:18" x14ac:dyDescent="0.25">
      <c r="C6" s="63"/>
      <c r="F6" s="118" t="s">
        <v>248</v>
      </c>
      <c r="L6" s="63"/>
      <c r="M6" s="63"/>
      <c r="N6" s="63"/>
      <c r="O6" s="21"/>
      <c r="P6" s="118" t="s">
        <v>248</v>
      </c>
      <c r="Q6" s="21"/>
      <c r="R6" s="21"/>
    </row>
    <row r="7" spans="2:18" ht="7.5" customHeight="1" x14ac:dyDescent="0.25">
      <c r="C7" s="63"/>
      <c r="F7" s="118"/>
      <c r="L7" s="63"/>
      <c r="M7" s="63"/>
      <c r="N7" s="63"/>
      <c r="O7" s="21"/>
      <c r="P7" s="118"/>
      <c r="Q7" s="21"/>
      <c r="R7" s="21"/>
    </row>
    <row r="8" spans="2:18" ht="30" customHeight="1" x14ac:dyDescent="0.25">
      <c r="C8" s="63"/>
      <c r="F8" s="118"/>
      <c r="L8" s="63"/>
      <c r="M8" s="63"/>
      <c r="N8" s="63"/>
      <c r="O8" s="21"/>
      <c r="P8" s="118"/>
      <c r="Q8" s="21"/>
      <c r="R8" s="21"/>
    </row>
    <row r="9" spans="2:18" s="21" customFormat="1" ht="12" customHeight="1" x14ac:dyDescent="0.25">
      <c r="C9" s="63"/>
      <c r="F9" s="118"/>
      <c r="L9" s="63"/>
      <c r="M9" s="63"/>
      <c r="N9" s="63"/>
      <c r="P9" s="118"/>
    </row>
    <row r="10" spans="2:18" ht="8.25" customHeight="1" thickBot="1" x14ac:dyDescent="0.3">
      <c r="C10" s="66"/>
      <c r="F10" s="67" t="s">
        <v>253</v>
      </c>
      <c r="L10" s="66"/>
      <c r="M10" s="66"/>
      <c r="N10" s="66"/>
      <c r="O10" s="21"/>
      <c r="P10" s="67" t="s">
        <v>253</v>
      </c>
      <c r="Q10" s="21"/>
      <c r="R10" s="21"/>
    </row>
    <row r="11" spans="2:18" ht="7.5" customHeight="1" x14ac:dyDescent="0.25">
      <c r="C11" s="65"/>
      <c r="F11" s="67" t="s">
        <v>240</v>
      </c>
      <c r="H11" s="119" t="s">
        <v>241</v>
      </c>
      <c r="L11" s="21"/>
      <c r="M11" s="65"/>
      <c r="N11" s="21"/>
      <c r="O11" s="21"/>
      <c r="P11" s="67" t="s">
        <v>240</v>
      </c>
      <c r="Q11" s="21"/>
      <c r="R11" s="119" t="s">
        <v>241</v>
      </c>
    </row>
    <row r="12" spans="2:18" ht="11.25" customHeight="1" thickBot="1" x14ac:dyDescent="0.3">
      <c r="C12" s="69"/>
      <c r="F12" s="67" t="s">
        <v>239</v>
      </c>
      <c r="H12" s="120"/>
      <c r="L12" s="21"/>
      <c r="M12" s="69"/>
      <c r="N12" s="21"/>
      <c r="O12" s="21"/>
      <c r="P12" s="67" t="s">
        <v>239</v>
      </c>
      <c r="Q12" s="21"/>
      <c r="R12" s="120"/>
    </row>
    <row r="13" spans="2:18" x14ac:dyDescent="0.25">
      <c r="C13" s="115" t="s">
        <v>244</v>
      </c>
      <c r="F13" s="121" t="s">
        <v>262</v>
      </c>
      <c r="L13" s="21"/>
      <c r="M13" s="115" t="s">
        <v>244</v>
      </c>
      <c r="N13" s="21"/>
      <c r="O13" s="21"/>
      <c r="P13" s="121" t="s">
        <v>262</v>
      </c>
      <c r="Q13" s="21"/>
      <c r="R13" s="21"/>
    </row>
    <row r="14" spans="2:18" ht="15.75" thickBot="1" x14ac:dyDescent="0.3">
      <c r="C14" s="116"/>
      <c r="F14" s="121"/>
      <c r="L14" s="21"/>
      <c r="M14" s="116"/>
      <c r="N14" s="21"/>
      <c r="O14" s="21"/>
      <c r="P14" s="121"/>
      <c r="Q14" s="21"/>
      <c r="R14" s="21"/>
    </row>
    <row r="15" spans="2:18" ht="17.25" customHeight="1" x14ac:dyDescent="0.25">
      <c r="C15" s="65"/>
      <c r="F15" s="67" t="s">
        <v>250</v>
      </c>
      <c r="H15" s="119" t="s">
        <v>237</v>
      </c>
      <c r="L15" s="21"/>
      <c r="M15" s="65"/>
      <c r="N15" s="21"/>
      <c r="O15" s="21"/>
      <c r="P15" s="67" t="s">
        <v>250</v>
      </c>
      <c r="Q15" s="21"/>
      <c r="R15" s="119" t="s">
        <v>237</v>
      </c>
    </row>
    <row r="16" spans="2:18" ht="7.5" customHeight="1" thickBot="1" x14ac:dyDescent="0.3">
      <c r="C16" s="69"/>
      <c r="F16" s="67" t="s">
        <v>236</v>
      </c>
      <c r="H16" s="120"/>
      <c r="L16" s="21"/>
      <c r="M16" s="69"/>
      <c r="N16" s="21"/>
      <c r="O16" s="21"/>
      <c r="P16" s="67" t="s">
        <v>236</v>
      </c>
      <c r="Q16" s="21"/>
      <c r="R16" s="120"/>
    </row>
    <row r="17" spans="2:18" x14ac:dyDescent="0.25">
      <c r="C17" s="117" t="s">
        <v>245</v>
      </c>
      <c r="F17" s="121" t="s">
        <v>238</v>
      </c>
      <c r="L17" s="21"/>
      <c r="M17" s="117" t="s">
        <v>245</v>
      </c>
      <c r="N17" s="21"/>
      <c r="O17" s="21"/>
      <c r="P17" s="121" t="s">
        <v>238</v>
      </c>
      <c r="Q17" s="21"/>
      <c r="R17" s="21"/>
    </row>
    <row r="18" spans="2:18" x14ac:dyDescent="0.25">
      <c r="C18" s="117"/>
      <c r="F18" s="121"/>
      <c r="L18" s="21"/>
      <c r="M18" s="117"/>
      <c r="N18" s="21"/>
      <c r="O18" s="21"/>
      <c r="P18" s="121"/>
      <c r="Q18" s="21"/>
      <c r="R18" s="21"/>
    </row>
    <row r="19" spans="2:18" s="21" customFormat="1" ht="14.25" customHeight="1" x14ac:dyDescent="0.25">
      <c r="C19" s="69"/>
      <c r="F19" s="67" t="s">
        <v>235</v>
      </c>
      <c r="M19" s="69"/>
      <c r="P19" s="67" t="s">
        <v>235</v>
      </c>
    </row>
    <row r="20" spans="2:18" ht="7.5" customHeight="1" x14ac:dyDescent="0.25">
      <c r="C20" s="65"/>
      <c r="F20" s="67" t="s">
        <v>234</v>
      </c>
      <c r="L20" s="21"/>
      <c r="M20" s="65"/>
      <c r="N20" s="21"/>
      <c r="O20" s="21"/>
      <c r="P20" s="67" t="s">
        <v>234</v>
      </c>
      <c r="Q20" s="21"/>
      <c r="R20" s="21"/>
    </row>
    <row r="21" spans="2:18" s="21" customFormat="1" ht="7.5" customHeight="1" x14ac:dyDescent="0.25">
      <c r="B21" s="66"/>
      <c r="C21" s="66"/>
      <c r="D21" s="66"/>
      <c r="F21" s="67" t="s">
        <v>249</v>
      </c>
      <c r="L21" s="6"/>
      <c r="M21" s="66"/>
      <c r="N21" s="6"/>
      <c r="P21" s="67" t="s">
        <v>249</v>
      </c>
    </row>
    <row r="22" spans="2:18" x14ac:dyDescent="0.25">
      <c r="B22" s="63"/>
      <c r="C22" s="63"/>
      <c r="D22" s="63"/>
      <c r="E22" s="6"/>
      <c r="F22" s="118" t="s">
        <v>233</v>
      </c>
      <c r="G22" s="6"/>
      <c r="L22" s="6"/>
      <c r="M22" s="63"/>
      <c r="N22" s="6"/>
      <c r="O22" s="6"/>
      <c r="P22" s="118" t="s">
        <v>233</v>
      </c>
      <c r="Q22" s="6"/>
      <c r="R22" s="21"/>
    </row>
    <row r="23" spans="2:18" ht="9" customHeight="1" x14ac:dyDescent="0.25">
      <c r="B23" s="63"/>
      <c r="C23" s="63"/>
      <c r="D23" s="63"/>
      <c r="E23" s="6"/>
      <c r="F23" s="118"/>
      <c r="G23" s="6"/>
      <c r="L23" s="6"/>
      <c r="M23" s="63"/>
      <c r="N23" s="6"/>
      <c r="O23" s="6"/>
      <c r="P23" s="118"/>
      <c r="Q23" s="6"/>
      <c r="R23" s="21"/>
    </row>
    <row r="25" spans="2:18" x14ac:dyDescent="0.25">
      <c r="B25" s="70" t="s">
        <v>257</v>
      </c>
    </row>
    <row r="27" spans="2:18" s="21" customFormat="1" x14ac:dyDescent="0.2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2:18" x14ac:dyDescent="0.25">
      <c r="B28" s="70" t="s">
        <v>258</v>
      </c>
      <c r="G28" s="64">
        <f>(55+4+2+8+4+40+17+17+7+3+2.5)/14</f>
        <v>11.392857142857142</v>
      </c>
      <c r="I28" t="s">
        <v>247</v>
      </c>
      <c r="K28" s="21">
        <f>(55+10+5+4+40+17+17+7+3+2.5)/21</f>
        <v>7.6428571428571432</v>
      </c>
    </row>
    <row r="29" spans="2:18" x14ac:dyDescent="0.25">
      <c r="B29" s="70" t="s">
        <v>246</v>
      </c>
    </row>
    <row r="30" spans="2:18" x14ac:dyDescent="0.25">
      <c r="B30" s="70" t="s">
        <v>259</v>
      </c>
    </row>
    <row r="31" spans="2:18" x14ac:dyDescent="0.25">
      <c r="B31" s="70" t="s">
        <v>260</v>
      </c>
    </row>
  </sheetData>
  <mergeCells count="16">
    <mergeCell ref="R11:R12"/>
    <mergeCell ref="P13:P14"/>
    <mergeCell ref="R15:R16"/>
    <mergeCell ref="P17:P18"/>
    <mergeCell ref="F22:F23"/>
    <mergeCell ref="F17:F18"/>
    <mergeCell ref="F13:F14"/>
    <mergeCell ref="H11:H12"/>
    <mergeCell ref="H15:H16"/>
    <mergeCell ref="P22:P23"/>
    <mergeCell ref="C13:C14"/>
    <mergeCell ref="C17:C18"/>
    <mergeCell ref="P6:P9"/>
    <mergeCell ref="F6:F9"/>
    <mergeCell ref="M13:M14"/>
    <mergeCell ref="M17:M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L52"/>
  <sheetViews>
    <sheetView workbookViewId="0">
      <selection activeCell="B8" sqref="B8"/>
    </sheetView>
  </sheetViews>
  <sheetFormatPr defaultColWidth="8.85546875" defaultRowHeight="15" x14ac:dyDescent="0.25"/>
  <cols>
    <col min="1" max="5" width="8.85546875" style="21"/>
    <col min="6" max="6" width="33.5703125" style="21" customWidth="1"/>
    <col min="7" max="8" width="14.7109375" style="21" customWidth="1"/>
    <col min="9" max="9" width="19.7109375" style="21" customWidth="1"/>
    <col min="10" max="10" width="20.28515625" style="21" customWidth="1"/>
    <col min="11" max="11" width="21.140625" style="21" hidden="1" customWidth="1"/>
    <col min="12" max="16384" width="8.85546875" style="21"/>
  </cols>
  <sheetData>
    <row r="3" spans="6:12" ht="25.5" customHeight="1" x14ac:dyDescent="0.25">
      <c r="F3" s="1"/>
      <c r="G3" s="1"/>
      <c r="H3" s="1"/>
      <c r="I3" s="1"/>
      <c r="J3" s="1"/>
    </row>
    <row r="4" spans="6:12" ht="90" x14ac:dyDescent="0.25">
      <c r="F4" s="54" t="s">
        <v>221</v>
      </c>
      <c r="G4" s="52" t="s">
        <v>220</v>
      </c>
      <c r="H4" s="51" t="s">
        <v>219</v>
      </c>
      <c r="I4" s="53" t="s">
        <v>218</v>
      </c>
      <c r="J4" s="52" t="s">
        <v>217</v>
      </c>
      <c r="K4" s="51" t="s">
        <v>216</v>
      </c>
      <c r="L4" s="52" t="s">
        <v>225</v>
      </c>
    </row>
    <row r="5" spans="6:12" hidden="1" x14ac:dyDescent="0.25">
      <c r="F5" s="40" t="s">
        <v>215</v>
      </c>
      <c r="G5" s="35">
        <v>8192</v>
      </c>
      <c r="H5" s="39">
        <v>8192</v>
      </c>
      <c r="I5" s="40">
        <v>8192</v>
      </c>
      <c r="J5" s="35">
        <v>8192</v>
      </c>
      <c r="K5" s="39">
        <v>8192</v>
      </c>
    </row>
    <row r="6" spans="6:12" hidden="1" x14ac:dyDescent="0.25">
      <c r="F6" s="40" t="s">
        <v>214</v>
      </c>
      <c r="G6" s="35">
        <v>8192</v>
      </c>
      <c r="H6" s="39">
        <v>8192</v>
      </c>
      <c r="I6" s="40">
        <v>8192</v>
      </c>
      <c r="J6" s="35">
        <f>8192*2</f>
        <v>16384</v>
      </c>
      <c r="K6" s="39">
        <f>8192*2</f>
        <v>16384</v>
      </c>
    </row>
    <row r="7" spans="6:12" x14ac:dyDescent="0.25">
      <c r="F7" s="40" t="s">
        <v>213</v>
      </c>
      <c r="G7" s="35">
        <v>30000</v>
      </c>
      <c r="H7" s="39">
        <v>30000</v>
      </c>
      <c r="I7" s="40">
        <v>60000</v>
      </c>
      <c r="J7" s="35">
        <v>48000</v>
      </c>
      <c r="K7" s="39">
        <v>48000</v>
      </c>
      <c r="L7" s="21" t="s">
        <v>224</v>
      </c>
    </row>
    <row r="8" spans="6:12" x14ac:dyDescent="0.25">
      <c r="F8" s="40" t="s">
        <v>212</v>
      </c>
      <c r="G8" s="35">
        <v>7500</v>
      </c>
      <c r="H8" s="39">
        <v>7500</v>
      </c>
      <c r="I8" s="40">
        <v>15000</v>
      </c>
      <c r="J8" s="35">
        <v>15000</v>
      </c>
      <c r="K8" s="39">
        <v>15000</v>
      </c>
    </row>
    <row r="9" spans="6:12" x14ac:dyDescent="0.25">
      <c r="F9" s="40" t="s">
        <v>211</v>
      </c>
      <c r="G9" s="35">
        <v>10000</v>
      </c>
      <c r="H9" s="39">
        <v>10000</v>
      </c>
      <c r="I9" s="40">
        <v>20000</v>
      </c>
      <c r="J9" s="35">
        <v>32000</v>
      </c>
      <c r="K9" s="39">
        <v>32000</v>
      </c>
    </row>
    <row r="10" spans="6:12" x14ac:dyDescent="0.25">
      <c r="F10" s="40" t="s">
        <v>210</v>
      </c>
      <c r="G10" s="35">
        <v>10000</v>
      </c>
      <c r="H10" s="39">
        <v>10000</v>
      </c>
      <c r="I10" s="40">
        <v>25000</v>
      </c>
      <c r="J10" s="35">
        <v>15000</v>
      </c>
      <c r="K10" s="39">
        <v>15000</v>
      </c>
    </row>
    <row r="11" spans="6:12" x14ac:dyDescent="0.25">
      <c r="F11" s="50" t="s">
        <v>209</v>
      </c>
      <c r="G11" s="49">
        <v>4.8099999999999996</v>
      </c>
      <c r="H11" s="48">
        <v>4.3099999999999996</v>
      </c>
      <c r="I11" s="50">
        <v>4.3099999999999996</v>
      </c>
      <c r="J11" s="49">
        <v>4.3099999999999996</v>
      </c>
      <c r="K11" s="48">
        <v>4.3</v>
      </c>
    </row>
    <row r="12" spans="6:12" x14ac:dyDescent="0.25">
      <c r="F12" s="40" t="s">
        <v>208</v>
      </c>
      <c r="G12" s="35">
        <v>1.38</v>
      </c>
      <c r="H12" s="39">
        <v>1.38</v>
      </c>
      <c r="I12" s="40">
        <v>1.38</v>
      </c>
      <c r="J12" s="35">
        <v>1.38</v>
      </c>
      <c r="K12" s="39">
        <v>1.4</v>
      </c>
    </row>
    <row r="13" spans="6:12" x14ac:dyDescent="0.25">
      <c r="F13" s="40" t="s">
        <v>207</v>
      </c>
      <c r="G13" s="35">
        <f>G$11+G$12</f>
        <v>6.1899999999999995</v>
      </c>
      <c r="H13" s="39">
        <f>H$11+H$12</f>
        <v>5.6899999999999995</v>
      </c>
      <c r="I13" s="40">
        <f>I$11+I$12</f>
        <v>5.6899999999999995</v>
      </c>
      <c r="J13" s="35">
        <f>J$11+J$12</f>
        <v>5.6899999999999995</v>
      </c>
      <c r="K13" s="39">
        <f>K$11+K$12</f>
        <v>5.6999999999999993</v>
      </c>
    </row>
    <row r="14" spans="6:12" x14ac:dyDescent="0.25">
      <c r="F14" s="41" t="s">
        <v>206</v>
      </c>
      <c r="G14" s="47">
        <f>G$11+5*G$17+G$23</f>
        <v>5.4849999999999994</v>
      </c>
      <c r="H14" s="46">
        <f>H$11+5*H$17+H$23</f>
        <v>4.9849999999999994</v>
      </c>
      <c r="I14" s="41">
        <f>I$11+5*I$17+I$23</f>
        <v>4.9849999999999994</v>
      </c>
      <c r="J14" s="47">
        <f>J$11+5*J$17+J$23</f>
        <v>4.9849999999999994</v>
      </c>
      <c r="K14" s="46">
        <f>K$11+5*K$17+K$23</f>
        <v>5</v>
      </c>
    </row>
    <row r="15" spans="6:12" x14ac:dyDescent="0.25">
      <c r="F15" s="40" t="s">
        <v>205</v>
      </c>
      <c r="G15" s="35">
        <f>G$13+5*G$17+G$24</f>
        <v>7.2649999999999988</v>
      </c>
      <c r="H15" s="39">
        <f>H$13+5*H$17+H$24</f>
        <v>6.7649999999999988</v>
      </c>
      <c r="I15" s="40">
        <f>I$13+5*I$17+I$24</f>
        <v>6.7649999999999988</v>
      </c>
      <c r="J15" s="35">
        <f>J$13+5*J$17+J$24</f>
        <v>6.7649999999999988</v>
      </c>
      <c r="K15" s="39">
        <f>K$13+5*K$17+K$24</f>
        <v>6.7999999999999989</v>
      </c>
    </row>
    <row r="16" spans="6:12" x14ac:dyDescent="0.25">
      <c r="F16" s="40" t="s">
        <v>204</v>
      </c>
      <c r="G16" s="35">
        <v>3.6</v>
      </c>
      <c r="H16" s="39">
        <v>3.2</v>
      </c>
      <c r="I16" s="40">
        <v>3.2</v>
      </c>
      <c r="J16" s="35">
        <v>3.15</v>
      </c>
      <c r="K16" s="39">
        <v>3.3</v>
      </c>
    </row>
    <row r="17" spans="6:11" x14ac:dyDescent="0.25">
      <c r="F17" s="40" t="s">
        <v>203</v>
      </c>
      <c r="G17" s="35">
        <v>9.5000000000000001E-2</v>
      </c>
      <c r="H17" s="35">
        <v>9.5000000000000001E-2</v>
      </c>
      <c r="I17" s="35">
        <v>9.5000000000000001E-2</v>
      </c>
      <c r="J17" s="35">
        <v>9.5000000000000001E-2</v>
      </c>
      <c r="K17" s="39">
        <v>0.1</v>
      </c>
    </row>
    <row r="18" spans="6:11" x14ac:dyDescent="0.25">
      <c r="F18" s="40" t="s">
        <v>202</v>
      </c>
      <c r="G18" s="35">
        <v>0.8</v>
      </c>
      <c r="H18" s="39">
        <v>0.8</v>
      </c>
      <c r="I18" s="40">
        <v>0.8</v>
      </c>
      <c r="J18" s="35">
        <v>0.8</v>
      </c>
      <c r="K18" s="39">
        <v>0.8</v>
      </c>
    </row>
    <row r="19" spans="6:11" x14ac:dyDescent="0.25">
      <c r="F19" s="40" t="s">
        <v>201</v>
      </c>
      <c r="G19" s="35">
        <f>INT(G$16/G$11*100)/100</f>
        <v>0.74</v>
      </c>
      <c r="H19" s="39">
        <f>INT(H$16/H$11*100)/100</f>
        <v>0.74</v>
      </c>
      <c r="I19" s="40">
        <f>INT(I$16/I$11*100)/100</f>
        <v>0.74</v>
      </c>
      <c r="J19" s="35">
        <f>INT(J$16/J$11*100)/100</f>
        <v>0.73</v>
      </c>
      <c r="K19" s="39">
        <f>INT(K$16/K$11*100)/100</f>
        <v>0.76</v>
      </c>
    </row>
    <row r="20" spans="6:11" x14ac:dyDescent="0.25">
      <c r="F20" s="40" t="s">
        <v>24</v>
      </c>
      <c r="G20" s="44">
        <v>1.9999999999999999E-7</v>
      </c>
      <c r="H20" s="43">
        <v>1.9999999999999999E-7</v>
      </c>
      <c r="I20" s="45">
        <v>9.9999999999999995E-8</v>
      </c>
      <c r="J20" s="44">
        <v>9.9999999999999995E-8</v>
      </c>
      <c r="K20" s="43">
        <v>2E-8</v>
      </c>
    </row>
    <row r="21" spans="6:11" ht="24.6" customHeight="1" x14ac:dyDescent="0.25">
      <c r="F21" s="40" t="s">
        <v>200</v>
      </c>
      <c r="G21" s="35">
        <f t="shared" ref="G21:K22" si="0">G$20*10^((G$19-1)/0.157)</f>
        <v>4.415491369677293E-9</v>
      </c>
      <c r="H21" s="39">
        <f t="shared" si="0"/>
        <v>4.415491369677293E-9</v>
      </c>
      <c r="I21" s="40">
        <f t="shared" si="0"/>
        <v>2.2077456848386465E-9</v>
      </c>
      <c r="J21" s="35">
        <f t="shared" si="0"/>
        <v>1.9065788765992473E-9</v>
      </c>
      <c r="K21" s="39">
        <f t="shared" si="0"/>
        <v>5.9206252812782611E-10</v>
      </c>
    </row>
    <row r="22" spans="6:11" ht="29.45" customHeight="1" x14ac:dyDescent="0.25">
      <c r="F22" s="40" t="s">
        <v>199</v>
      </c>
      <c r="G22" s="35">
        <f t="shared" si="0"/>
        <v>4.415491369677293E-9</v>
      </c>
      <c r="H22" s="39">
        <f t="shared" si="0"/>
        <v>4.415491369677293E-9</v>
      </c>
      <c r="I22" s="40">
        <f t="shared" si="0"/>
        <v>2.2077456848386465E-9</v>
      </c>
      <c r="J22" s="35">
        <f t="shared" si="0"/>
        <v>1.9065788765992473E-9</v>
      </c>
      <c r="K22" s="39">
        <f t="shared" si="0"/>
        <v>5.9206252812782611E-10</v>
      </c>
    </row>
    <row r="23" spans="6:11" x14ac:dyDescent="0.25">
      <c r="F23" s="40" t="s">
        <v>198</v>
      </c>
      <c r="G23" s="35">
        <v>0.2</v>
      </c>
      <c r="H23" s="39">
        <v>0.2</v>
      </c>
      <c r="I23" s="40">
        <v>0.2</v>
      </c>
      <c r="J23" s="35">
        <v>0.2</v>
      </c>
      <c r="K23" s="39">
        <v>0.2</v>
      </c>
    </row>
    <row r="24" spans="6:11" x14ac:dyDescent="0.25">
      <c r="F24" s="40" t="s">
        <v>197</v>
      </c>
      <c r="G24" s="35">
        <v>0.6</v>
      </c>
      <c r="H24" s="39">
        <v>0.6</v>
      </c>
      <c r="I24" s="40">
        <v>0.6</v>
      </c>
      <c r="J24" s="35">
        <v>0.6</v>
      </c>
      <c r="K24" s="39">
        <v>0.6</v>
      </c>
    </row>
    <row r="25" spans="6:11" x14ac:dyDescent="0.25">
      <c r="F25" s="40" t="s">
        <v>196</v>
      </c>
      <c r="G25" s="35">
        <v>0.1</v>
      </c>
      <c r="H25" s="39">
        <v>0.1</v>
      </c>
      <c r="I25" s="40">
        <v>0.1</v>
      </c>
      <c r="J25" s="35">
        <v>0.1</v>
      </c>
      <c r="K25" s="39">
        <v>0.1</v>
      </c>
    </row>
    <row r="26" spans="6:11" x14ac:dyDescent="0.25">
      <c r="F26" s="41" t="s">
        <v>195</v>
      </c>
      <c r="G26" s="35"/>
      <c r="H26" s="39"/>
      <c r="I26" s="40"/>
      <c r="J26" s="35"/>
      <c r="K26" s="39"/>
    </row>
    <row r="27" spans="6:11" x14ac:dyDescent="0.25">
      <c r="F27" s="42" t="s">
        <v>194</v>
      </c>
      <c r="G27" s="35">
        <v>0.1</v>
      </c>
      <c r="H27" s="39">
        <v>0.1</v>
      </c>
      <c r="I27" s="40">
        <v>0.1</v>
      </c>
      <c r="J27" s="35">
        <v>0.1</v>
      </c>
      <c r="K27" s="39">
        <v>0.1</v>
      </c>
    </row>
    <row r="28" spans="6:11" x14ac:dyDescent="0.25">
      <c r="F28" s="40" t="s">
        <v>180</v>
      </c>
      <c r="G28" s="35">
        <f>INT(G$21*G$7*G$5/(2*2*2)*1000*0.6)/1000</f>
        <v>8.1000000000000003E-2</v>
      </c>
      <c r="H28" s="39">
        <f>INT(H$21*H$7*H$5/(2*2*2)*1000*0.6)/1000</f>
        <v>8.1000000000000003E-2</v>
      </c>
      <c r="I28" s="40">
        <f>INT(I$21*I$7*I$5/(2*2*2)*1000*0.6)/1000</f>
        <v>8.1000000000000003E-2</v>
      </c>
      <c r="J28" s="35">
        <f>INT(J$21*J$7*J$5/(2*2*2)*1000*0.6)/1000</f>
        <v>5.6000000000000001E-2</v>
      </c>
      <c r="K28" s="39">
        <f>INT(K$21*K$7*K$5/(2*2*2)*1000*0.6)/1000</f>
        <v>1.7000000000000001E-2</v>
      </c>
    </row>
    <row r="29" spans="6:11" x14ac:dyDescent="0.25">
      <c r="F29" s="40" t="s">
        <v>179</v>
      </c>
      <c r="G29" s="35">
        <f>INT(G$8*G$21*G$5*1000*0.6)/1000</f>
        <v>0.16200000000000001</v>
      </c>
      <c r="H29" s="39">
        <f>INT(H$8*H$21*H$5*1000*0.6)/1000</f>
        <v>0.16200000000000001</v>
      </c>
      <c r="I29" s="40">
        <f>INT(I$8*I$21*I$5*1000*0.6)/1000</f>
        <v>0.16200000000000001</v>
      </c>
      <c r="J29" s="35">
        <f>INT(J$8*J$21*J$5*1000*0.6)/1000</f>
        <v>0.14000000000000001</v>
      </c>
      <c r="K29" s="39">
        <f>INT(K$8*K$21*K$5*1000*0.6)/1000</f>
        <v>4.2999999999999997E-2</v>
      </c>
    </row>
    <row r="30" spans="6:11" x14ac:dyDescent="0.25">
      <c r="F30" s="40" t="s">
        <v>178</v>
      </c>
      <c r="G30" s="35">
        <f>INT(G$22*G$6*G$9/(2*2)*1000*0.6)/1000</f>
        <v>5.3999999999999999E-2</v>
      </c>
      <c r="H30" s="39">
        <f>INT(H$22*H$6*H$9/(2*2)*1000*0.6)/1000</f>
        <v>5.3999999999999999E-2</v>
      </c>
      <c r="I30" s="40">
        <f>INT(I$22*I$6*I$9/(2*2)*1000*0.6)/1000</f>
        <v>5.3999999999999999E-2</v>
      </c>
      <c r="J30" s="35">
        <f>INT(J$22*J$6*J$9/(2*2)*1000*0.6)/1000</f>
        <v>0.14899999999999999</v>
      </c>
      <c r="K30" s="39">
        <f>INT(K$22*K$6*K$9/(2*2)*1000*0.6)/1000</f>
        <v>4.5999999999999999E-2</v>
      </c>
    </row>
    <row r="31" spans="6:11" x14ac:dyDescent="0.25">
      <c r="F31" s="40" t="s">
        <v>177</v>
      </c>
      <c r="G31" s="35">
        <f>INT(G$22*G$6*G$10*0.6*1000)/1000</f>
        <v>0.217</v>
      </c>
      <c r="H31" s="39">
        <f>INT(H$22*H$6*H$10*0.6*1000)/1000</f>
        <v>0.217</v>
      </c>
      <c r="I31" s="40">
        <f>INT(I$22*I$6*I$10*0.6*1000)/1000</f>
        <v>0.27100000000000002</v>
      </c>
      <c r="J31" s="35">
        <f>INT(J$22*J$6*J$10*0.6*1000)/1000</f>
        <v>0.28100000000000003</v>
      </c>
      <c r="K31" s="39">
        <f>INT(K$22*K$6*K$10*0.6*1000)/1000</f>
        <v>8.6999999999999994E-2</v>
      </c>
    </row>
    <row r="32" spans="6:11" x14ac:dyDescent="0.25">
      <c r="F32" s="40" t="s">
        <v>193</v>
      </c>
      <c r="G32" s="35">
        <f>G$11-5*G$17-G$16-G$30/2-G$31-G$27</f>
        <v>0.3909999999999999</v>
      </c>
      <c r="H32" s="39">
        <f>H$11-5*H$17-H$16-H$30/2-H$31-H$27</f>
        <v>0.29099999999999937</v>
      </c>
      <c r="I32" s="40">
        <f>I$11-5*I$17-I$16-I$30/2-I$31-I$27</f>
        <v>0.23699999999999929</v>
      </c>
      <c r="J32" s="35">
        <f>J$11-5*J$17-J$16-J$30/2-J$31-J$27</f>
        <v>0.22949999999999957</v>
      </c>
      <c r="K32" s="39">
        <f>K$11-5*K$17-K$16-K$30/2-K$31-K$27</f>
        <v>0.29000000000000004</v>
      </c>
    </row>
    <row r="33" spans="6:11" x14ac:dyDescent="0.25">
      <c r="F33" s="40" t="s">
        <v>192</v>
      </c>
      <c r="G33" s="35">
        <f>2*G$16+G$18-G$15-(G$28/2+G$30/2)</f>
        <v>0.6675000000000012</v>
      </c>
      <c r="H33" s="39">
        <f>2*H$16+H$18-H$15-(H$28/2+H$30/2)</f>
        <v>0.36750000000000138</v>
      </c>
      <c r="I33" s="40">
        <f>2*I$16+I$18-I$15-(I$28/2+I$30/2)</f>
        <v>0.36750000000000138</v>
      </c>
      <c r="J33" s="35">
        <f>2*J$16+J$18-J$15-(J$28/2+J$30/2)</f>
        <v>0.23250000000000087</v>
      </c>
      <c r="K33" s="39">
        <f>2*K$16+K$18-K$15-(K$28/2+K$30/2)</f>
        <v>0.56850000000000056</v>
      </c>
    </row>
    <row r="34" spans="6:11" x14ac:dyDescent="0.25">
      <c r="F34" s="40" t="s">
        <v>191</v>
      </c>
      <c r="G34" s="35">
        <f>(G$15-G$24/2-2*G$16)/0.1</f>
        <v>-2.3500000000000121</v>
      </c>
      <c r="H34" s="39">
        <f>(H$15-H$24/2-2*H$16)/0.1</f>
        <v>0.64999999999998614</v>
      </c>
      <c r="I34" s="40">
        <f>(I$15-I$24/2-2*I$16)/0.1</f>
        <v>0.64999999999998614</v>
      </c>
      <c r="J34" s="35">
        <f>(J$15-J$24/2-2*J$16)/0.1</f>
        <v>1.6499999999999915</v>
      </c>
      <c r="K34" s="39">
        <f>(K$15-K$24/2-2*K$16)/0.1</f>
        <v>-1.0000000000000053</v>
      </c>
    </row>
    <row r="35" spans="6:11" x14ac:dyDescent="0.25">
      <c r="F35" s="40" t="s">
        <v>190</v>
      </c>
      <c r="G35" s="35">
        <f>(-1)*(G$16+G$28/2+G$29)</f>
        <v>-3.8025000000000002</v>
      </c>
      <c r="H35" s="39">
        <f>(-1)*(H$16+H$28/2+H$29)</f>
        <v>-3.4025000000000003</v>
      </c>
      <c r="I35" s="40">
        <f>(-1)*(I$16+I$28/2+I$29)</f>
        <v>-3.4025000000000003</v>
      </c>
      <c r="J35" s="35">
        <f>(-1)*(J$16+J$28/2+J$29)</f>
        <v>-3.3180000000000001</v>
      </c>
      <c r="K35" s="39">
        <f>(-1)*(K$16+K$28/2+K$29)</f>
        <v>-3.3515000000000001</v>
      </c>
    </row>
    <row r="36" spans="6:11" x14ac:dyDescent="0.25">
      <c r="F36" s="40" t="s">
        <v>189</v>
      </c>
      <c r="G36" s="35">
        <f>G$15-(G$16-G$28/2)</f>
        <v>3.7054999999999989</v>
      </c>
      <c r="H36" s="39">
        <f>H$15-(H$16-H$28/2)</f>
        <v>3.6054999999999988</v>
      </c>
      <c r="I36" s="40">
        <f>I$15-(I$16-I$28/2)</f>
        <v>3.6054999999999988</v>
      </c>
      <c r="J36" s="35">
        <f>J$15-(J$16-J$28/2)</f>
        <v>3.6429999999999989</v>
      </c>
      <c r="K36" s="39">
        <f>K$15-(K$16-K$28/2)</f>
        <v>3.5084999999999993</v>
      </c>
    </row>
    <row r="37" spans="6:11" x14ac:dyDescent="0.25">
      <c r="F37" s="40" t="s">
        <v>188</v>
      </c>
      <c r="G37" s="35">
        <f>INT(G$20*G$6*G$9*10^(((G$36-G$18)/G$11-1)/0.157)/(2*2)*1000*0.6)/1000</f>
        <v>7.0000000000000001E-3</v>
      </c>
      <c r="H37" s="39">
        <f>INT(H$20*H$6*H$9*10^(((H$36-H$18)/H$11-1)/0.157)/(2*2)*1000*0.6)/1000</f>
        <v>1.4E-2</v>
      </c>
      <c r="I37" s="40">
        <f>INT(I$20*I$6*I$9*10^(((I$36-I$18)/I$11-1)/0.157)/(2*2)*1000*0.6)/1000</f>
        <v>1.4E-2</v>
      </c>
      <c r="J37" s="35">
        <f>INT(J$20*J$6*J$9*10^(((J$36-J$18)/J$11-1)/0.157)/(2*2)*1000*0.6)/1000</f>
        <v>5.2999999999999999E-2</v>
      </c>
      <c r="K37" s="39">
        <f>INT(K$20*K$6*K$9*10^(((K$36-K$18)/K$11-1)/0.157)/(2*2)*1000*0.6)/1000</f>
        <v>6.0000000000000001E-3</v>
      </c>
    </row>
    <row r="38" spans="6:11" x14ac:dyDescent="0.25">
      <c r="F38" s="40" t="s">
        <v>187</v>
      </c>
      <c r="G38" s="35">
        <f>INT(G$20*G$6*G$10*10^(((G$36-G$18)/G$11-1)/0.157)*1000*0.6)/1000</f>
        <v>2.9000000000000001E-2</v>
      </c>
      <c r="H38" s="39">
        <f>INT(H$20*H$6*H$10*10^(((H$36-H$18)/H$11-1)/0.157)*1000*0.6)/1000</f>
        <v>5.8000000000000003E-2</v>
      </c>
      <c r="I38" s="40">
        <f>INT(I$20*I$6*I$10*10^(((I$36-I$18)/I$11-1)/0.157)*1000*0.6)/1000</f>
        <v>7.2999999999999995E-2</v>
      </c>
      <c r="J38" s="35">
        <f>INT(J$20*J$6*J$10*10^(((J$36-J$18)/J$11-1)/0.157)*1000*0.6)/1000</f>
        <v>0.1</v>
      </c>
      <c r="K38" s="39">
        <f>INT(K$20*K$6*K$10*10^(((K$36-K$18)/K$11-1)/0.157)*1000*0.6)/1000</f>
        <v>1.2E-2</v>
      </c>
    </row>
    <row r="39" spans="6:11" x14ac:dyDescent="0.25">
      <c r="F39" s="40" t="s">
        <v>186</v>
      </c>
      <c r="G39" s="35">
        <f>G$36+G$37+G$38</f>
        <v>3.7414999999999989</v>
      </c>
      <c r="H39" s="39">
        <f>H$36+H$37+H$38</f>
        <v>3.6774999999999984</v>
      </c>
      <c r="I39" s="40">
        <f>I$36+I$37+I$38</f>
        <v>3.6924999999999986</v>
      </c>
      <c r="J39" s="35">
        <f>J$36+J$37+J$38</f>
        <v>3.7959999999999989</v>
      </c>
      <c r="K39" s="39">
        <f>K$36+K$37+K$38</f>
        <v>3.5264999999999991</v>
      </c>
    </row>
    <row r="40" spans="6:11" x14ac:dyDescent="0.25">
      <c r="F40" s="40" t="s">
        <v>185</v>
      </c>
      <c r="G40" s="35">
        <f>G39-G35</f>
        <v>7.5439999999999987</v>
      </c>
      <c r="H40" s="39">
        <f>H39-H35</f>
        <v>7.0799999999999983</v>
      </c>
      <c r="I40" s="40">
        <f>I39-I35</f>
        <v>7.0949999999999989</v>
      </c>
      <c r="J40" s="35">
        <f>J39-J35</f>
        <v>7.113999999999999</v>
      </c>
      <c r="K40" s="39">
        <f>K39-K35</f>
        <v>6.8779999999999992</v>
      </c>
    </row>
    <row r="41" spans="6:11" x14ac:dyDescent="0.25">
      <c r="F41" s="41" t="s">
        <v>184</v>
      </c>
      <c r="G41" s="35"/>
      <c r="H41" s="39"/>
      <c r="I41" s="40"/>
      <c r="J41" s="35"/>
      <c r="K41" s="39"/>
    </row>
    <row r="42" spans="6:11" x14ac:dyDescent="0.25">
      <c r="F42" s="40" t="s">
        <v>183</v>
      </c>
      <c r="G42" s="35">
        <f>(G14+G13-G17*5)/(2*2)</f>
        <v>2.8</v>
      </c>
      <c r="H42" s="35">
        <f>(H14+H13-H17*5)/(2*2)</f>
        <v>2.5499999999999998</v>
      </c>
      <c r="I42" s="35">
        <f>(I14+I13-I17*5)/(2*2)</f>
        <v>2.5499999999999998</v>
      </c>
      <c r="J42" s="35">
        <f>(J14+J13-J17*5)/(2*2)</f>
        <v>2.5499999999999998</v>
      </c>
      <c r="K42" s="39">
        <f>(K11+K17*5+K23+0.1)/2</f>
        <v>2.5499999999999998</v>
      </c>
    </row>
    <row r="43" spans="6:11" x14ac:dyDescent="0.25">
      <c r="F43" s="40" t="s">
        <v>182</v>
      </c>
      <c r="G43" s="35">
        <f>INT(100*G42/G11)/100</f>
        <v>0.57999999999999996</v>
      </c>
      <c r="H43" s="39">
        <f>INT(100*H42/H11)/100</f>
        <v>0.59</v>
      </c>
      <c r="I43" s="40">
        <f>INT(100*I42/I11)/100</f>
        <v>0.59</v>
      </c>
      <c r="J43" s="35">
        <f>INT(100*J42/J11)/100</f>
        <v>0.59</v>
      </c>
      <c r="K43" s="39">
        <f>INT(100*K42/K11)/100</f>
        <v>0.59</v>
      </c>
    </row>
    <row r="44" spans="6:11" hidden="1" x14ac:dyDescent="0.25">
      <c r="F44" s="40" t="s">
        <v>181</v>
      </c>
      <c r="G44" s="35">
        <f>G$20*10^((G43-1)/0.157)</f>
        <v>4.2254285267088188E-10</v>
      </c>
      <c r="H44" s="39">
        <f>H$20*10^((H43-1)/0.157)</f>
        <v>4.8928852149432204E-10</v>
      </c>
      <c r="I44" s="40">
        <f>I$20*10^((I43-1)/0.157)</f>
        <v>2.4464426074716102E-10</v>
      </c>
      <c r="J44" s="35">
        <f>J$20*10^((J43-1)/0.157)</f>
        <v>2.4464426074716102E-10</v>
      </c>
      <c r="K44" s="39">
        <f>K$20*10^((K43-1)/0.157)</f>
        <v>4.8928852149432209E-11</v>
      </c>
    </row>
    <row r="45" spans="6:11" hidden="1" x14ac:dyDescent="0.25">
      <c r="F45" s="40" t="s">
        <v>180</v>
      </c>
      <c r="G45" s="35">
        <f>INT(1000*G$44*G$5*G$7/(2*2*2))/1000</f>
        <v>1.2E-2</v>
      </c>
      <c r="H45" s="39">
        <f>INT(1000*H$44*H$5*H$7/(2*2*2))/1000</f>
        <v>1.4999999999999999E-2</v>
      </c>
      <c r="I45" s="40">
        <f>INT(1000*I$44*I$5*I$7/(2*2*2))/1000</f>
        <v>1.4999999999999999E-2</v>
      </c>
      <c r="J45" s="35">
        <f>INT(1000*J$44*J$5*J$7/(2*2*2))/1000</f>
        <v>1.2E-2</v>
      </c>
      <c r="K45" s="39">
        <f>INT(1000*K$44*K$5*K$7/(2*2*2))/1000</f>
        <v>2E-3</v>
      </c>
    </row>
    <row r="46" spans="6:11" hidden="1" x14ac:dyDescent="0.25">
      <c r="F46" s="40" t="s">
        <v>179</v>
      </c>
      <c r="G46" s="35">
        <f>INT(1000*G$44*G$5*G$8)/1000</f>
        <v>2.5000000000000001E-2</v>
      </c>
      <c r="H46" s="39">
        <f>INT(1000*H$44*H$5*H$8)/1000</f>
        <v>0.03</v>
      </c>
      <c r="I46" s="40">
        <f>INT(1000*I$44*I$5*I$8)/1000</f>
        <v>0.03</v>
      </c>
      <c r="J46" s="35">
        <f>INT(1000*J$44*J$5*J$8)/1000</f>
        <v>0.03</v>
      </c>
      <c r="K46" s="39">
        <f>INT(1000*K$44*K$5*K$8)/1000</f>
        <v>6.0000000000000001E-3</v>
      </c>
    </row>
    <row r="47" spans="6:11" hidden="1" x14ac:dyDescent="0.25">
      <c r="F47" s="40" t="s">
        <v>178</v>
      </c>
      <c r="G47" s="35">
        <f>INT(1000*G44*G6*G10/(2*2))/1000</f>
        <v>8.0000000000000002E-3</v>
      </c>
      <c r="H47" s="39">
        <f>INT(1000*H44*H6*H10/(2*2))/1000</f>
        <v>0.01</v>
      </c>
      <c r="I47" s="40">
        <f>INT(1000*I44*I6*I10/(2*2))/1000</f>
        <v>1.2E-2</v>
      </c>
      <c r="J47" s="35">
        <f>INT(1000*J44*J6*J10/(2*2))/1000</f>
        <v>1.4999999999999999E-2</v>
      </c>
      <c r="K47" s="39">
        <f>INT(1000*K44*K6*K10/(2*2))/1000</f>
        <v>3.0000000000000001E-3</v>
      </c>
    </row>
    <row r="48" spans="6:11" hidden="1" x14ac:dyDescent="0.25">
      <c r="F48" s="40" t="s">
        <v>177</v>
      </c>
      <c r="G48" s="35">
        <f>INT(1000*G$44*G6*G$10)/1000</f>
        <v>3.4000000000000002E-2</v>
      </c>
      <c r="H48" s="39">
        <f>INT(1000*H$44*H6*H$10)/1000</f>
        <v>0.04</v>
      </c>
      <c r="I48" s="40">
        <f>INT(1000*I$44*I6*I$10)/1000</f>
        <v>0.05</v>
      </c>
      <c r="J48" s="35">
        <f>INT(1000*J$44*J6*J$10)/1000</f>
        <v>0.06</v>
      </c>
      <c r="K48" s="39">
        <f>INT(1000*K$44*K6*K$10)/1000</f>
        <v>1.2E-2</v>
      </c>
    </row>
    <row r="49" spans="6:11" hidden="1" x14ac:dyDescent="0.25">
      <c r="F49" s="40" t="s">
        <v>176</v>
      </c>
      <c r="G49" s="35">
        <f>SUM(G45:G48)</f>
        <v>7.9000000000000015E-2</v>
      </c>
      <c r="H49" s="39">
        <f>SUM(H45:H48)</f>
        <v>9.5000000000000001E-2</v>
      </c>
      <c r="I49" s="40">
        <f>SUM(I45:I48)</f>
        <v>0.107</v>
      </c>
      <c r="J49" s="35">
        <f>SUM(J45:J48)</f>
        <v>0.11699999999999999</v>
      </c>
      <c r="K49" s="39">
        <f>SUM(K45:K48)</f>
        <v>2.3E-2</v>
      </c>
    </row>
    <row r="50" spans="6:11" hidden="1" x14ac:dyDescent="0.25">
      <c r="F50" s="40" t="s">
        <v>175</v>
      </c>
      <c r="G50" s="35">
        <f>MAX(0.1,G$49)</f>
        <v>0.1</v>
      </c>
      <c r="H50" s="39">
        <f>MAX(0.1,H$49)</f>
        <v>0.1</v>
      </c>
      <c r="I50" s="40">
        <f>MAX(0.1,I$49)</f>
        <v>0.107</v>
      </c>
      <c r="J50" s="35">
        <f>MAX(0.1,J$49)</f>
        <v>0.11699999999999999</v>
      </c>
      <c r="K50" s="39">
        <f>MAX(0.1,K$49)</f>
        <v>0.1</v>
      </c>
    </row>
    <row r="51" spans="6:11" x14ac:dyDescent="0.25">
      <c r="F51" s="38" t="s">
        <v>174</v>
      </c>
      <c r="G51" s="37">
        <f>INT(100*(G$13-G$11-10*G$17-G$50-G$23-G$25))/100</f>
        <v>0.02</v>
      </c>
      <c r="H51" s="36">
        <f>INT(100*(H$13-H$11-10*H$17-H$50-H$23-H$25))/100</f>
        <v>0.02</v>
      </c>
      <c r="I51" s="38">
        <f>INT(100*(I$13-I$11-10*I$17-I$50-I$23-I$25))/100</f>
        <v>0.02</v>
      </c>
      <c r="J51" s="37">
        <f>INT(100*(J$13-J$11-10*J$17-J$50-J$23-J$25))/100</f>
        <v>0.01</v>
      </c>
      <c r="K51" s="36">
        <f>INT(100*(K$13-K$11-10*K$17-K$50-K$23-K$25))/100</f>
        <v>-0.01</v>
      </c>
    </row>
    <row r="52" spans="6:11" hidden="1" x14ac:dyDescent="0.25">
      <c r="F52" s="35" t="s">
        <v>173</v>
      </c>
      <c r="G52" s="35">
        <f>INT(100*(G$13-G$11-10*G$17-MAX(G$50-G$23-G$25))/100)</f>
        <v>0</v>
      </c>
      <c r="H52" s="35">
        <f>INT(100*(H$13-H$11-10*H$17-H$50-H$23-H$25))/100</f>
        <v>0.02</v>
      </c>
      <c r="I52" s="35">
        <f>INT(100*(I$13-I$11-10*I$17-I$50-I$23-I$25))/100</f>
        <v>0.02</v>
      </c>
      <c r="J52" s="35">
        <f>INT(100*(K$13-K$11-10*K$17-K$50-K$23-K$25))/100</f>
        <v>-0.01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19157EAA59541A312DF3709770A68" ma:contentTypeVersion="0" ma:contentTypeDescription="Create a new document." ma:contentTypeScope="" ma:versionID="f62aaf964ec2ad99f0fc33f7083bc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936175-9A73-41C7-A26A-6281D92C2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E10FF-8E6D-40AE-B2A6-1A9120022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C97568-E73A-4761-B56F-DBAC31535BCE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S15, S26A DTS and 30s draft</vt:lpstr>
      <vt:lpstr>MTS draft rev0</vt:lpstr>
      <vt:lpstr>Calc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Franklin</dc:creator>
  <cp:lastModifiedBy>Andrea Redaelli (aredael)</cp:lastModifiedBy>
  <dcterms:created xsi:type="dcterms:W3CDTF">2011-05-12T23:12:47Z</dcterms:created>
  <dcterms:modified xsi:type="dcterms:W3CDTF">2017-07-14T20:01:28Z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0x01010058C19157EAA59541A312DF3709770A68</vt:lpwstr>
  </property>
</Properties>
</file>