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ocumenti disco F\SXP\Byeond 10s architecture pathfindings\DTS\"/>
    </mc:Choice>
  </mc:AlternateContent>
  <bookViews>
    <workbookView xWindow="0" yWindow="0" windowWidth="19200" windowHeight="6210" tabRatio="663"/>
  </bookViews>
  <sheets>
    <sheet name="S15, S26A DTS and 30s draft" sheetId="37" r:id="rId1"/>
    <sheet name="MTS draft rev0" sheetId="56" r:id="rId2"/>
    <sheet name="Calc" sheetId="55" r:id="rId3"/>
  </sheets>
  <definedNames>
    <definedName name="aa">#REF!</definedName>
    <definedName name="aaa">#REF!</definedName>
    <definedName name="bb">#REF!</definedName>
    <definedName name="fdacs" localSheetId="0">#REF!</definedName>
    <definedName name="fdacs">#REF!</definedName>
    <definedName name="fdacsvcc" localSheetId="0">#REF!</definedName>
    <definedName name="fdacsvcc">#REF!</definedName>
    <definedName name="ffacs" localSheetId="0">#REF!</definedName>
    <definedName name="ffacs">#REF!</definedName>
    <definedName name="ffacsvcc" localSheetId="0">#REF!</definedName>
    <definedName name="ffacsvcc">#REF!</definedName>
    <definedName name="fpgmloads" localSheetId="0">#REF!</definedName>
    <definedName name="fpgmloads">#REF!</definedName>
    <definedName name="fpgmloadsvcc" localSheetId="0">#REF!</definedName>
    <definedName name="fpgmloadsvcc">#REF!</definedName>
    <definedName name="fplanesw" localSheetId="0">#REF!</definedName>
    <definedName name="fplanesw">#REF!</definedName>
    <definedName name="fplaneswvcc" localSheetId="0">#REF!</definedName>
    <definedName name="fplaneswvcc">#REF!</definedName>
    <definedName name="fpumps" localSheetId="0">#REF!</definedName>
    <definedName name="fpumps">#REF!</definedName>
    <definedName name="fpumpsvcc" localSheetId="0">#REF!</definedName>
    <definedName name="fpumpsvcc">#REF!</definedName>
    <definedName name="ftotalaccurate" localSheetId="0">#REF!</definedName>
    <definedName name="ftotalaccurate">#REF!</definedName>
    <definedName name="gggggggg">#REF!</definedName>
    <definedName name="junk" localSheetId="0">#REF!</definedName>
    <definedName name="junk">#REF!</definedName>
    <definedName name="junk1" localSheetId="0">#REF!</definedName>
    <definedName name="junk1">#REF!</definedName>
    <definedName name="junk10" localSheetId="0">#REF!</definedName>
    <definedName name="junk10">#REF!</definedName>
    <definedName name="junk100" localSheetId="0">#REF!</definedName>
    <definedName name="junk100">#REF!</definedName>
    <definedName name="junk11" localSheetId="0">#REF!</definedName>
    <definedName name="junk11">#REF!</definedName>
    <definedName name="junk12" localSheetId="0">#REF!</definedName>
    <definedName name="junk12">#REF!</definedName>
    <definedName name="junk13" localSheetId="0">#REF!</definedName>
    <definedName name="junk13">#REF!</definedName>
    <definedName name="junk2" localSheetId="0">#REF!</definedName>
    <definedName name="junk2">#REF!</definedName>
    <definedName name="junk20" localSheetId="0">#REF!</definedName>
    <definedName name="junk20">#REF!</definedName>
    <definedName name="junk3" localSheetId="0">#REF!</definedName>
    <definedName name="junk3">#REF!</definedName>
    <definedName name="junk30" localSheetId="0">#REF!</definedName>
    <definedName name="junk30">#REF!</definedName>
    <definedName name="junk31" localSheetId="0">#REF!</definedName>
    <definedName name="junk31">#REF!</definedName>
    <definedName name="junk4" localSheetId="0">#REF!</definedName>
    <definedName name="junk4">#REF!</definedName>
    <definedName name="junk5" localSheetId="0">#REF!</definedName>
    <definedName name="junk5">#REF!</definedName>
    <definedName name="junk6" localSheetId="0">#REF!</definedName>
    <definedName name="junk6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</definedNames>
  <calcPr calcId="171027"/>
</workbook>
</file>

<file path=xl/calcChain.xml><?xml version="1.0" encoding="utf-8"?>
<calcChain xmlns="http://schemas.openxmlformats.org/spreadsheetml/2006/main">
  <c r="K28" i="56" l="1"/>
  <c r="G28" i="56"/>
  <c r="J6" i="55" l="1"/>
  <c r="K6" i="55"/>
  <c r="G13" i="55"/>
  <c r="H13" i="55"/>
  <c r="H15" i="55" s="1"/>
  <c r="I13" i="55"/>
  <c r="J13" i="55"/>
  <c r="K13" i="55"/>
  <c r="G14" i="55"/>
  <c r="G42" i="55" s="1"/>
  <c r="G43" i="55" s="1"/>
  <c r="G44" i="55" s="1"/>
  <c r="H14" i="55"/>
  <c r="H42" i="55" s="1"/>
  <c r="H43" i="55" s="1"/>
  <c r="H44" i="55" s="1"/>
  <c r="I14" i="55"/>
  <c r="J14" i="55"/>
  <c r="K14" i="55"/>
  <c r="G15" i="55"/>
  <c r="J15" i="55"/>
  <c r="J34" i="55" s="1"/>
  <c r="K15" i="55"/>
  <c r="K36" i="55" s="1"/>
  <c r="K37" i="55" s="1"/>
  <c r="G19" i="55"/>
  <c r="H19" i="55"/>
  <c r="H21" i="55" s="1"/>
  <c r="H28" i="55" s="1"/>
  <c r="I19" i="55"/>
  <c r="I22" i="55" s="1"/>
  <c r="J19" i="55"/>
  <c r="J21" i="55" s="1"/>
  <c r="K19" i="55"/>
  <c r="K22" i="55" s="1"/>
  <c r="G21" i="55"/>
  <c r="G29" i="55" s="1"/>
  <c r="I21" i="55"/>
  <c r="I29" i="55" s="1"/>
  <c r="K21" i="55"/>
  <c r="K29" i="55" s="1"/>
  <c r="G22" i="55"/>
  <c r="G30" i="55" s="1"/>
  <c r="K28" i="55"/>
  <c r="K35" i="55" s="1"/>
  <c r="J42" i="55"/>
  <c r="J43" i="55" s="1"/>
  <c r="J44" i="55" s="1"/>
  <c r="K42" i="55"/>
  <c r="K43" i="55"/>
  <c r="K44" i="55" s="1"/>
  <c r="K46" i="55" l="1"/>
  <c r="K45" i="55"/>
  <c r="K48" i="55"/>
  <c r="K30" i="55"/>
  <c r="K32" i="55" s="1"/>
  <c r="K31" i="55"/>
  <c r="G28" i="55"/>
  <c r="G31" i="55"/>
  <c r="G32" i="55" s="1"/>
  <c r="H22" i="55"/>
  <c r="G46" i="55"/>
  <c r="G45" i="55"/>
  <c r="G47" i="55"/>
  <c r="G48" i="55"/>
  <c r="H36" i="55"/>
  <c r="H34" i="55"/>
  <c r="J47" i="55"/>
  <c r="J45" i="55"/>
  <c r="J46" i="55"/>
  <c r="J48" i="55"/>
  <c r="J29" i="55"/>
  <c r="J28" i="55"/>
  <c r="I31" i="55"/>
  <c r="I30" i="55"/>
  <c r="I32" i="55" s="1"/>
  <c r="G33" i="55"/>
  <c r="H45" i="55"/>
  <c r="H48" i="55"/>
  <c r="H46" i="55"/>
  <c r="H47" i="55"/>
  <c r="I42" i="55"/>
  <c r="I43" i="55" s="1"/>
  <c r="I44" i="55" s="1"/>
  <c r="K39" i="55"/>
  <c r="K40" i="55" s="1"/>
  <c r="K47" i="55"/>
  <c r="K49" i="55" s="1"/>
  <c r="K50" i="55" s="1"/>
  <c r="K38" i="55"/>
  <c r="K34" i="55"/>
  <c r="G34" i="55"/>
  <c r="H29" i="55"/>
  <c r="H35" i="55" s="1"/>
  <c r="I28" i="55"/>
  <c r="I35" i="55" s="1"/>
  <c r="J22" i="55"/>
  <c r="I15" i="55"/>
  <c r="K33" i="55" l="1"/>
  <c r="G35" i="55"/>
  <c r="G36" i="55"/>
  <c r="H49" i="55"/>
  <c r="H50" i="55" s="1"/>
  <c r="H51" i="55" s="1"/>
  <c r="H30" i="55"/>
  <c r="H31" i="55"/>
  <c r="H52" i="55"/>
  <c r="K51" i="55"/>
  <c r="J52" i="55"/>
  <c r="I48" i="55"/>
  <c r="I46" i="55"/>
  <c r="I47" i="55"/>
  <c r="I45" i="55"/>
  <c r="G49" i="55"/>
  <c r="G50" i="55" s="1"/>
  <c r="J30" i="55"/>
  <c r="J31" i="55"/>
  <c r="I34" i="55"/>
  <c r="I36" i="55"/>
  <c r="I33" i="55"/>
  <c r="J36" i="55"/>
  <c r="J35" i="55"/>
  <c r="J49" i="55"/>
  <c r="J50" i="55" s="1"/>
  <c r="J51" i="55" s="1"/>
  <c r="H38" i="55"/>
  <c r="H37" i="55"/>
  <c r="G37" i="55" l="1"/>
  <c r="G38" i="55"/>
  <c r="G39" i="55"/>
  <c r="G40" i="55" s="1"/>
  <c r="I49" i="55"/>
  <c r="I50" i="55" s="1"/>
  <c r="I52" i="55" s="1"/>
  <c r="H39" i="55"/>
  <c r="H40" i="55" s="1"/>
  <c r="H32" i="55"/>
  <c r="H33" i="55"/>
  <c r="I51" i="55"/>
  <c r="J32" i="55"/>
  <c r="J37" i="55"/>
  <c r="J39" i="55" s="1"/>
  <c r="J40" i="55" s="1"/>
  <c r="J38" i="55"/>
  <c r="J33" i="55"/>
  <c r="I38" i="55"/>
  <c r="I39" i="55" s="1"/>
  <c r="I40" i="55" s="1"/>
  <c r="I37" i="55"/>
  <c r="G51" i="55"/>
  <c r="G52" i="55"/>
</calcChain>
</file>

<file path=xl/sharedStrings.xml><?xml version="1.0" encoding="utf-8"?>
<sst xmlns="http://schemas.openxmlformats.org/spreadsheetml/2006/main" count="1001" uniqueCount="371">
  <si>
    <t>SET (State and Operation)</t>
  </si>
  <si>
    <t>Start up Device Target Range</t>
  </si>
  <si>
    <t>Amplitute</t>
  </si>
  <si>
    <t>Width</t>
  </si>
  <si>
    <t>RESET (State and Operation)</t>
  </si>
  <si>
    <t>On state</t>
  </si>
  <si>
    <t>V_offset</t>
  </si>
  <si>
    <t>I_hold</t>
  </si>
  <si>
    <t>DVDI</t>
  </si>
  <si>
    <t>Array Parasitics</t>
  </si>
  <si>
    <t>Other</t>
  </si>
  <si>
    <t>2048 cells</t>
  </si>
  <si>
    <t>Decks</t>
  </si>
  <si>
    <t>2 Deck</t>
  </si>
  <si>
    <t>WL driver tap point</t>
  </si>
  <si>
    <t>Center</t>
  </si>
  <si>
    <t>BL driver tap point</t>
  </si>
  <si>
    <t>Operating Tempearture Range</t>
  </si>
  <si>
    <t>0 to 85 C</t>
  </si>
  <si>
    <t>Set Vt temperature dependence</t>
  </si>
  <si>
    <t>Set pulse total duration</t>
  </si>
  <si>
    <t>&lt;5 nA/cell at 85C</t>
  </si>
  <si>
    <t>Selection bias on A/B cells</t>
  </si>
  <si>
    <t>Reset Vt temperature dependence</t>
  </si>
  <si>
    <t>V_hold</t>
  </si>
  <si>
    <t>Reliability</t>
  </si>
  <si>
    <t>Bitline resistance max/typical/min</t>
  </si>
  <si>
    <t>Bitline capacitance max/typical/min</t>
  </si>
  <si>
    <t>Maximum Vt at first fire</t>
  </si>
  <si>
    <t>Ith</t>
  </si>
  <si>
    <t>0v</t>
  </si>
  <si>
    <t>0v/0.8v</t>
  </si>
  <si>
    <t>floated</t>
  </si>
  <si>
    <t>BL extra cells</t>
  </si>
  <si>
    <t>Deck1 WL extra cells</t>
  </si>
  <si>
    <t>Deck0 WL extra cells</t>
  </si>
  <si>
    <t>Array Leakage</t>
  </si>
  <si>
    <t xml:space="preserve"> RESET cell, selection leakage per cell</t>
  </si>
  <si>
    <t>SET cells per WL, BL</t>
  </si>
  <si>
    <t>1228 per WL,
4912 per BL</t>
  </si>
  <si>
    <t>RESET cell per WL, BL</t>
  </si>
  <si>
    <t>820 per WL,
3280 per BL</t>
  </si>
  <si>
    <t>Total Array+Dummy cell per WL/BL</t>
  </si>
  <si>
    <t>2080 per WL,
8256 per BL</t>
  </si>
  <si>
    <t>Total Leakage Limit per WL/BL</t>
  </si>
  <si>
    <t>End of life RBER</t>
  </si>
  <si>
    <t>Array via resistance max/typical/min</t>
  </si>
  <si>
    <t>1000/500/200 ohm @85C</t>
  </si>
  <si>
    <t>Dummy Bias</t>
  </si>
  <si>
    <t>BL shield dummies</t>
  </si>
  <si>
    <t>WL shield dummies</t>
  </si>
  <si>
    <t>BL dummies (excluding shield dummies)</t>
  </si>
  <si>
    <t>WL dummies (excluding shield dummies)</t>
  </si>
  <si>
    <t xml:space="preserve">Edge half tile wl dummies </t>
  </si>
  <si>
    <t>Overhead due to Sockets</t>
  </si>
  <si>
    <t>Write cycling endurance: max cycles, delta Vt</t>
  </si>
  <si>
    <t>&gt; 1E7 cycles
&lt;50mV, 4sig</t>
  </si>
  <si>
    <t>Read cycling endurance: max reads, delta Vt</t>
  </si>
  <si>
    <t>1E10 reads
&lt;50mV, 4sig</t>
  </si>
  <si>
    <t>Array Architecture</t>
  </si>
  <si>
    <t xml:space="preserve"> 3.6V bias DUMMY cell, selection leakage per cell
 </t>
  </si>
  <si>
    <t>&lt;2.5 nA/cell at 85C</t>
  </si>
  <si>
    <t xml:space="preserve"> 4.4V bias DUMMY cell, selection leakage per cell</t>
  </si>
  <si>
    <t>&lt;100 nA/cell at 85C</t>
  </si>
  <si>
    <t xml:space="preserve"> 3.6V bias DUMMY cell per WL, BL
 </t>
  </si>
  <si>
    <t>32 per WL, 
48 per BL</t>
  </si>
  <si>
    <t xml:space="preserve"> 4.4V bias DUMMY cell per WL, BL
 </t>
  </si>
  <si>
    <t>0 per WL, 
16 per BL</t>
  </si>
  <si>
    <t>10.3uA per WL,
42.7 uA per BL</t>
  </si>
  <si>
    <t>&lt;3.2pA</t>
  </si>
  <si>
    <t>-4 mV/degC</t>
  </si>
  <si>
    <t>Set pulse SQUARE target current</t>
  </si>
  <si>
    <t>-6 mV/degC</t>
  </si>
  <si>
    <t>&lt;1800 ohm</t>
  </si>
  <si>
    <t>Time0 RBER</t>
  </si>
  <si>
    <t>Set drift maximum
after biased and unbiased conditions</t>
  </si>
  <si>
    <t>200 mV, +4sig,
1us to 14day@85C
1us to 5yrs@40C</t>
  </si>
  <si>
    <t>Reset drift maximum
after biased and unbiased conditions</t>
  </si>
  <si>
    <t>600 mV, +4sig,
1us to 14day@85C
1us to 5yrs@40C</t>
  </si>
  <si>
    <t>Proximity thermal WRITE disturb:
# of Writes before R-&gt;S or S-&gt; R disturb
delta Vt</t>
  </si>
  <si>
    <t>Proximity thermal READ disturb:
# of Reads before R-&gt;S or S-&gt;R disturb
delta Vt</t>
  </si>
  <si>
    <t>Reset retention: time@temp, delta Vt</t>
  </si>
  <si>
    <t>14day@85C + 5yr@40C,
&lt;50mV, 4sig</t>
  </si>
  <si>
    <t>SD Only Stack
Total Leakage Limit per WL/BL</t>
  </si>
  <si>
    <t>&lt;2V</t>
  </si>
  <si>
    <t>&lt;2.04V</t>
  </si>
  <si>
    <t>Yield/Goal Spec
Vehicile/Product</t>
  </si>
  <si>
    <t>4 Deck</t>
  </si>
  <si>
    <t>Nominal max cell distance to WL driver</t>
  </si>
  <si>
    <t>1024 cells</t>
  </si>
  <si>
    <t>Nominal max cell distance to BL driver</t>
  </si>
  <si>
    <t>3.6V @ 85C</t>
  </si>
  <si>
    <t>&lt;0.5 nA/cell at 85C</t>
  </si>
  <si>
    <t>7.0uA per WL,
30.0uA per BL</t>
  </si>
  <si>
    <t>Leakage current per cell @1.2V, @85C</t>
  </si>
  <si>
    <t>READ</t>
  </si>
  <si>
    <t>Read Method/Algorithm</t>
  </si>
  <si>
    <t>SSR</t>
  </si>
  <si>
    <t>Maximum Read bias variation post sense</t>
  </si>
  <si>
    <t>&lt;50mV</t>
  </si>
  <si>
    <t>Minimum Dealy after Write before Reading</t>
  </si>
  <si>
    <t>1us</t>
  </si>
  <si>
    <t>Maximum Delay after Write before Reading</t>
  </si>
  <si>
    <t xml:space="preserve">5yr total (1.6E8s) @40C
with &lt;14days @ 85C </t>
  </si>
  <si>
    <t xml:space="preserve">Set Vt median, @ min delay after write, @ 85C </t>
  </si>
  <si>
    <t>4.81V</t>
  </si>
  <si>
    <t xml:space="preserve">Set Vt median, @ min delay after write, @ 25C </t>
  </si>
  <si>
    <t>5.05V</t>
  </si>
  <si>
    <t xml:space="preserve"> Vt for offset SD-only stack</t>
  </si>
  <si>
    <t>200mV lower</t>
  </si>
  <si>
    <t>Set Vt sigma, single pulse, across all drift timescales</t>
  </si>
  <si>
    <t>95 mV/sigma</t>
  </si>
  <si>
    <t>195ns</t>
  </si>
  <si>
    <t>25-60 uA: -1.7V LWLselG</t>
  </si>
  <si>
    <t>Set pulse SHAPED capability</t>
  </si>
  <si>
    <t>4 current levels
I1: Selection
I2: MirrorA
I3: MirrorA+B
I4: MirrorB</t>
  </si>
  <si>
    <t>Set pulse SHAPED target high current</t>
  </si>
  <si>
    <t>I3: MirrorA+B
40-60 uA: -1.7V LWLselG</t>
  </si>
  <si>
    <t>Set pulse SHAPED target low current</t>
  </si>
  <si>
    <t>I2/I4: Mirror A or B
25-40 uA: -1.7V LWLselG</t>
  </si>
  <si>
    <t xml:space="preserve">Reset Vt median, @ min delay after write, @ 85C </t>
  </si>
  <si>
    <t>6.19V</t>
  </si>
  <si>
    <t xml:space="preserve">Reset Vt median, @ min delay after write, @ 25C </t>
  </si>
  <si>
    <t>6.55V</t>
  </si>
  <si>
    <t>1.38V</t>
  </si>
  <si>
    <t>Reset/PM delta Vt required, @ min delay after write, @25C</t>
  </si>
  <si>
    <t>1.5V</t>
  </si>
  <si>
    <t>Reset Vt sigma, single pulse, across all drift timescales</t>
  </si>
  <si>
    <t>Reset pulse duration</t>
  </si>
  <si>
    <t>10-30ns</t>
  </si>
  <si>
    <t xml:space="preserve">I-Reset current, @ 85C, Initial
Median </t>
  </si>
  <si>
    <t>&lt;85uA</t>
  </si>
  <si>
    <t xml:space="preserve">I-Reset current, @ 85C, Initial
Max </t>
  </si>
  <si>
    <t>&lt;95uA</t>
  </si>
  <si>
    <t xml:space="preserve">I-Reset current, @ 85C, Post Cycles
Median </t>
  </si>
  <si>
    <t>I-Reset current, @ 85C, Post Cycles
Max</t>
  </si>
  <si>
    <t>&lt;105uA</t>
  </si>
  <si>
    <t xml:space="preserve">I-Reset current, @ 25C, Initial
Median </t>
  </si>
  <si>
    <t xml:space="preserve">I-Reset current, @ 25C, Initial
Max </t>
  </si>
  <si>
    <t xml:space="preserve">I-Reset current, @ 25C, Post Cycles
Median </t>
  </si>
  <si>
    <t>I-Reset current, @ 25C, Post Cycles
Max</t>
  </si>
  <si>
    <t>&lt;115uA</t>
  </si>
  <si>
    <t>I-Melt current
Median</t>
  </si>
  <si>
    <t>&gt;70uA</t>
  </si>
  <si>
    <t>I-Melt current
Min</t>
  </si>
  <si>
    <t>&gt;60uA</t>
  </si>
  <si>
    <t>VTI Slope Set2Reset:
Median: Initial @ 25C</t>
  </si>
  <si>
    <t>&gt;90kohm</t>
  </si>
  <si>
    <t>Slope1 VTI Set2Reset: 
delta Vt after 50uA RESET pulse</t>
  </si>
  <si>
    <t>&lt;100mV, @+4sig</t>
  </si>
  <si>
    <t>Vcell @ I-Reset(105uA)</t>
  </si>
  <si>
    <t>&lt;2.19V</t>
  </si>
  <si>
    <t>&lt;25 uA</t>
  </si>
  <si>
    <t>Set drift Rate limit for spec, mV/decade of time</t>
  </si>
  <si>
    <t>14 mV/decade</t>
  </si>
  <si>
    <t>Reset drift Rate limit for spec,  mV/decade of time</t>
  </si>
  <si>
    <t>42 mV/decade</t>
  </si>
  <si>
    <t>A/B type cell Bias Drift Conditions
#writes/reads, time, bias</t>
  </si>
  <si>
    <t>4E8 writes(100s) @ 3.6V
5E8 reads(24s) @ 3.0V</t>
  </si>
  <si>
    <t>C type cell Bias Drift Conditions
#writes, time, bias</t>
  </si>
  <si>
    <t>7E11 writes (2E5s) @ 1.2V</t>
  </si>
  <si>
    <t>Set state READ disturb:
# of Read @SET max with drift,
delta Vt (S2R) limit of Set distribution</t>
  </si>
  <si>
    <t>1E6 reads
&lt;50mV @+ 4sig</t>
  </si>
  <si>
    <t>Reset state READ disturb:
# of Read @100mV RESET min,
delta Vt (R2S) limit of Reset distribution</t>
  </si>
  <si>
    <t>1E6 reads
&lt;50mV @-4sig</t>
  </si>
  <si>
    <t>2E4 writes per aggressor
&lt;50mV, 4sig</t>
  </si>
  <si>
    <t>2E7 reads per aggressor
&lt;50mV, 4sig</t>
  </si>
  <si>
    <t>13.6/12.0/10.3
ohm/cell @ 85C, 12.4/10.9/9.4 ohm/cell@25C</t>
  </si>
  <si>
    <t>5.4/4.8/4.1
ohm/cell @ 85C, 4.9/4.3/3.7 ohm/cell@25C</t>
  </si>
  <si>
    <t>6.8/5.8/4.9
aF/cell/side</t>
  </si>
  <si>
    <t>5.7/4.9/4.1
aF/cell/side</t>
  </si>
  <si>
    <t>12.5/10.8/9.0
aF/cell/side</t>
  </si>
  <si>
    <t>Cell capacitance max/typical/min
(at 1.2V)</t>
  </si>
  <si>
    <t>2.8/2.5/2.2
aF/cell</t>
  </si>
  <si>
    <t>302-844</t>
  </si>
  <si>
    <t>45-244</t>
  </si>
  <si>
    <t>0-217</t>
  </si>
  <si>
    <t>9.1 V @ 85C
with 100% unfired/Reset cells</t>
  </si>
  <si>
    <t>Maximum Vt in customer operation, @85C</t>
  </si>
  <si>
    <t>7.3V</t>
  </si>
  <si>
    <t>Maximum Vt in customer operation, @25C</t>
  </si>
  <si>
    <t>7.7V</t>
  </si>
  <si>
    <t>TBD</t>
  </si>
  <si>
    <t>2048*3/4 = 1536 cells</t>
  </si>
  <si>
    <t xml:space="preserve">5.4/4.8/4.1
ohm/cell @ 85C, 4.9/4.3/3.7 ohm/cell@25C </t>
  </si>
  <si>
    <t>NA</t>
  </si>
  <si>
    <t>4912 per WL,
4912 per BL</t>
  </si>
  <si>
    <t>3280 per WL,
3280 per BL</t>
  </si>
  <si>
    <t>32 each 1024</t>
  </si>
  <si>
    <t>30.0uA per WL,
30.0uA per BL</t>
  </si>
  <si>
    <t>42.7uA per WL,
42.7 uA per BL</t>
  </si>
  <si>
    <t xml:space="preserve">13.6/12.0/10.3
ohm/cell @ 85C, 12.4/10.9/9.4 ohm/cell@25C </t>
  </si>
  <si>
    <t>D1-D2 Wordline capacitance max/typical/min</t>
  </si>
  <si>
    <t>D0-D3 Wordline resistance max/typical/min</t>
  </si>
  <si>
    <t>D1-D2 Wordline resistance max/typical/min</t>
  </si>
  <si>
    <t>Center/Quilt</t>
  </si>
  <si>
    <t>12.4/10.7/8.9
aF/cell/side</t>
  </si>
  <si>
    <r>
      <t>Reset drift maximum @25C
(+4σ</t>
    </r>
    <r>
      <rPr>
        <sz val="9.9"/>
        <color theme="1"/>
        <rFont val="Verdana"/>
        <family val="2"/>
      </rPr>
      <t xml:space="preserve"> point after 15 decades of time</t>
    </r>
    <r>
      <rPr>
        <sz val="11"/>
        <color theme="1"/>
        <rFont val="Verdana"/>
        <family val="2"/>
      </rPr>
      <t xml:space="preserve"> )</t>
    </r>
  </si>
  <si>
    <t>3 sigma</t>
  </si>
  <si>
    <t>Memory
Ship Release
S15C -POR (DTS 3.6)</t>
  </si>
  <si>
    <t>Memory
Ship Release
S26A - POR (DTS 1.1)</t>
  </si>
  <si>
    <t>4.31V</t>
  </si>
  <si>
    <t>4.55V</t>
  </si>
  <si>
    <t>4 current levels
I1: Selection
I2: MirrorA
I3: MirrorB
I4: MirrorC</t>
  </si>
  <si>
    <t>Comments</t>
  </si>
  <si>
    <t>&lt;2 nA/cell at 85C</t>
  </si>
  <si>
    <t>128Gb S15C --&gt; 256 Gb S26A</t>
  </si>
  <si>
    <t>Need to assume VT FF min = VT set min</t>
  </si>
  <si>
    <t>5.69V</t>
  </si>
  <si>
    <t>6.05V</t>
  </si>
  <si>
    <t>&lt; 2.3V</t>
  </si>
  <si>
    <t>6.9/5.9/5
ohm/cell @ 85C,                 6.1/5.4/4.6 ohm/cell@25C</t>
  </si>
  <si>
    <t>(12.4/10.7/8.9) * 0.8
aF/cell/side</t>
  </si>
  <si>
    <t>&lt;1.8K</t>
  </si>
  <si>
    <t>Memory
Ship Release
S26A - POR (DTS 1.2)</t>
  </si>
  <si>
    <t>Memory
Ship Release
S26A - pre-POR 1.1</t>
  </si>
  <si>
    <t>Memory
Ship Release
S26A - pre-POR 1.2</t>
  </si>
  <si>
    <t>D0 Wordline capacitance max/typical/min</t>
  </si>
  <si>
    <t>D3 Wordline capacitance max/typical/min</t>
  </si>
  <si>
    <t>6.7/5.8/4.9
aF/cell/side</t>
  </si>
  <si>
    <t>Array IR drop = I from 2K cells/deck, R from 1.5K cells/deck; periphery IR drop from 2048 cells/side/deck</t>
  </si>
  <si>
    <t>3 current levels
I1: Selection
I2: Optional
I3: MirrorB
I4: MirrorC</t>
  </si>
  <si>
    <t>I3: MirrorB
40-60 uA: -1.7V LWLselG</t>
  </si>
  <si>
    <t>25-60 uA: max spike mit</t>
  </si>
  <si>
    <t>I3: MirrorB
40-60 uA: max spike mit</t>
  </si>
  <si>
    <t>I2/I4: Mirror A or C
25-40 uA: -1.7V LWLselG</t>
  </si>
  <si>
    <t>I4: MirrorC
25-40 uA: max spike mit</t>
  </si>
  <si>
    <t>I2/I4: Mirror C
25-40 uA: max spike mit</t>
  </si>
  <si>
    <t>1.8K</t>
  </si>
  <si>
    <t>V(105uA)=2.5V (pre-cycles); V(115uA)=2.2V (post-cycles)</t>
  </si>
  <si>
    <t>&lt; 2.7V (30uA)</t>
  </si>
  <si>
    <t>V(60uA)=2.7V (pre-cycles); V(60uA)=2.4V (post-cycles)</t>
  </si>
  <si>
    <t>2.31V pre-cycles; 1.99V post-cycles</t>
  </si>
  <si>
    <t>AV7: 2000/1000/50 ohm @85C, 1850/950/45 ohm @ 25C                                      AV0/AV1/AV3/AV5: 1000/250/55 ohm @85C, 950/200/50 ohm @ 25C</t>
  </si>
  <si>
    <t>Memory
Ship Release
S26A - POR (DTS 1.3)</t>
  </si>
  <si>
    <t>Memory
Ship Release
S26A - pre-POR 1.3</t>
  </si>
  <si>
    <t>AV0: 600/200/60 ohm/via; AV1/AV3/AV5: 6K/3K/1.5K ohm/via; AV7: 7K/3.5K/1.7K ohm/via (@25)</t>
  </si>
  <si>
    <t>AV0: 100/200/600 ohm/via; AV1/AV3/AV5: 1K/3K/6K ohm/via; AV7: 1K/4K/7K ohm/via (@25C)</t>
  </si>
  <si>
    <t>V(105uA)=2.5V (pre-cycles); V(115uA)=2.2V (post-cycles) (Median)</t>
  </si>
  <si>
    <t>V(60uA)=2.7V (pre-cycles); V(60uA)=2.4V (post-cycles) (Median)</t>
  </si>
  <si>
    <t>Vcell @ I-Reset(60uA)</t>
  </si>
  <si>
    <t>Vcell @ I-Reset(30uA)</t>
  </si>
  <si>
    <t>V(30uA)=2.9V (pre-cycles); V(30uA)=2.6V (post-cycles) (Median)</t>
  </si>
  <si>
    <t>2048*3/4 = 1536</t>
  </si>
  <si>
    <t>4912 per WL,
9824 per BL</t>
  </si>
  <si>
    <t>3280 per WL,
6560 per BL</t>
  </si>
  <si>
    <t>8448 per WL,
8704 per BL</t>
  </si>
  <si>
    <t>42.7uA per WL,
85.4 uA per BL</t>
  </si>
  <si>
    <t>eSSR</t>
  </si>
  <si>
    <t xml:space="preserve">4096*3/4 = </t>
  </si>
  <si>
    <t>2048 cell</t>
  </si>
  <si>
    <t>match s26a pre-por</t>
  </si>
  <si>
    <t>&lt;60% of 85uA =51uA</t>
  </si>
  <si>
    <t>E2/E3 margin (higher VDMs)</t>
  </si>
  <si>
    <t>E2/E3 margin</t>
  </si>
  <si>
    <t>VDM variation</t>
  </si>
  <si>
    <t>Total leakage</t>
  </si>
  <si>
    <t>BL path leakage drop</t>
  </si>
  <si>
    <t>Column leakage drop</t>
  </si>
  <si>
    <t>WL path leakage drop</t>
  </si>
  <si>
    <t>Row leakage drop</t>
  </si>
  <si>
    <t>WL/BL Leakage per cell</t>
  </si>
  <si>
    <t>Bias as percentage of Set VT</t>
  </si>
  <si>
    <t>WL/BL bias</t>
  </si>
  <si>
    <t>Read</t>
  </si>
  <si>
    <t>(VPP-VNN) for Selection</t>
  </si>
  <si>
    <t>VPP needed for Selection</t>
  </si>
  <si>
    <t>BL path leakage drop at max bl bias</t>
  </si>
  <si>
    <t>Column leakage drop at max bl bias</t>
  </si>
  <si>
    <t>Max BL bias for selection</t>
  </si>
  <si>
    <t>VNN needed for Selection</t>
  </si>
  <si>
    <t># of Cells needing c-cell (sigma)</t>
  </si>
  <si>
    <t>E4 Margin</t>
  </si>
  <si>
    <t>E1 Margin</t>
  </si>
  <si>
    <t>VNN/BLWRTV variation</t>
  </si>
  <si>
    <t>Write</t>
  </si>
  <si>
    <t>Reset Read Disturb</t>
  </si>
  <si>
    <t>Reset Drift</t>
  </si>
  <si>
    <t>Set Drift</t>
  </si>
  <si>
    <t>B cell Leakage per cell</t>
  </si>
  <si>
    <t>A cell Leakage per cell</t>
  </si>
  <si>
    <t>Inhibit bias as a % of set Vt</t>
  </si>
  <si>
    <t>C-cell bias</t>
  </si>
  <si>
    <t>Vt sigma</t>
  </si>
  <si>
    <t>Inhibit bias</t>
  </si>
  <si>
    <t>Max Reset VT</t>
  </si>
  <si>
    <t>Max Set VT</t>
  </si>
  <si>
    <t>Median Reset VT</t>
  </si>
  <si>
    <t>Delta VT</t>
  </si>
  <si>
    <t>Median SET Vt</t>
  </si>
  <si>
    <t>BL path resistance</t>
  </si>
  <si>
    <t>BL resistance</t>
  </si>
  <si>
    <t>WL path resistance</t>
  </si>
  <si>
    <t>WL resistance</t>
  </si>
  <si>
    <t># of B cells</t>
  </si>
  <si>
    <t># of A cells</t>
  </si>
  <si>
    <t>30 Series 4Kx8K 10x lower leakage as 20s</t>
  </si>
  <si>
    <t>30 Series 4Kx8K 1/2 leakage as 20s</t>
  </si>
  <si>
    <t>30 Series 4Kx4K  1/2 leakage as 20s</t>
  </si>
  <si>
    <t>20s Lower Vt</t>
  </si>
  <si>
    <t>20s POR</t>
  </si>
  <si>
    <t>Column1</t>
  </si>
  <si>
    <t>1x 20 series</t>
  </si>
  <si>
    <t>40% lower than 20 series</t>
  </si>
  <si>
    <t>&lt;60% of 95uA =57uA</t>
  </si>
  <si>
    <t>30 Series 4Kx4K</t>
  </si>
  <si>
    <t xml:space="preserve">30 Series 4Kx8K </t>
  </si>
  <si>
    <t>1.67x 20 series</t>
  </si>
  <si>
    <t>??</t>
  </si>
  <si>
    <t>31 Series 4Kx8K 10x lower leakage as 20s</t>
  </si>
  <si>
    <t>1.4x 20 series</t>
  </si>
  <si>
    <t>4kx4k --&gt; 1.67x, 4kx8k --&gt; 1.4x (BL) 1.4x(WL) to keep IR drop across the array path</t>
  </si>
  <si>
    <t>does it stay the same between the 2 tile sizes?</t>
  </si>
  <si>
    <t>0.5x 20 series</t>
  </si>
  <si>
    <t>50% cell area</t>
  </si>
  <si>
    <t xml:space="preserve"> SET cell, selection leakage per cell (@ 75% of Set VT)</t>
  </si>
  <si>
    <t>assume same algorithm</t>
  </si>
  <si>
    <t>match s26a pre-por / check on PTX on-going</t>
  </si>
  <si>
    <t xml:space="preserve">same coeff. </t>
  </si>
  <si>
    <t>given as a target for material exploration</t>
  </si>
  <si>
    <t>70% of 20 series</t>
  </si>
  <si>
    <t>30% lower than 20 series</t>
  </si>
  <si>
    <t>30% lower than 20 series. TCAD simultions point to 0.6X. 0.1X additional margin applied</t>
  </si>
  <si>
    <t>&lt;70% of 70uA =47uA</t>
  </si>
  <si>
    <t>120 mV/sigma</t>
  </si>
  <si>
    <t>no SD thickness change - same sigma assumed as for actual silicon ED4 10s rev 7.64</t>
  </si>
  <si>
    <t>V(105uA)=3.0V (pre-cycles); V(115uA)=2.5V (post-cycles) (Median)</t>
  </si>
  <si>
    <t>V(60uA)=3.0V (pre-cycles); V(60uA)=2.5V (post-cycles) (Median)</t>
  </si>
  <si>
    <t>V(30uA)=3.3V (pre-cycles); V(30uA)=2.8V (post-cycles) (Median)</t>
  </si>
  <si>
    <t>2.8 V pre-cycles; 2.3V post-cycles</t>
  </si>
  <si>
    <t>Actual is 2.7V @100uA. Using forward looking Es stack (PG1T1 stack), +300 mV. Post 2MFW cycling -500 mV. Based on kelvin ON-IV. Measurements running on rev 7.64</t>
  </si>
  <si>
    <t>&lt;20 uA</t>
  </si>
  <si>
    <t>W 35 nm</t>
  </si>
  <si>
    <t xml:space="preserve">3 nm HUC </t>
  </si>
  <si>
    <t>7 nm HUCN</t>
  </si>
  <si>
    <t>5 nm HUCN</t>
  </si>
  <si>
    <t>or equivalent graded version</t>
  </si>
  <si>
    <t>SD 17 nm</t>
  </si>
  <si>
    <t>8 nm HUCN</t>
  </si>
  <si>
    <t>2 nm HUC</t>
  </si>
  <si>
    <t>or equivalent graded version (15 nm as dep)</t>
  </si>
  <si>
    <t>Cross section along the WL</t>
  </si>
  <si>
    <t>Cross section along the BL</t>
  </si>
  <si>
    <t>PM</t>
  </si>
  <si>
    <t>SD</t>
  </si>
  <si>
    <t>- no SD thickness scaling</t>
  </si>
  <si>
    <t xml:space="preserve">actual s26 AR is </t>
  </si>
  <si>
    <t>W 55 nm</t>
  </si>
  <si>
    <t>WSiN 2.5 nm</t>
  </si>
  <si>
    <t>7 nm HUC + 5 nm HBC</t>
  </si>
  <si>
    <t xml:space="preserve">2X area factor </t>
  </si>
  <si>
    <t>2X area factor</t>
  </si>
  <si>
    <t>WSiN 4 nm</t>
  </si>
  <si>
    <t>1.6X x 20 series</t>
  </si>
  <si>
    <t>WSiN thickness scaling 0.8X ( 4nm)  -&gt; Rvia 1.6X</t>
  </si>
  <si>
    <t>1.18V</t>
  </si>
  <si>
    <t>- MTS is already considering CN in MEC and TEC</t>
  </si>
  <si>
    <t xml:space="preserve">- resulting cell AR (2nd cut) is </t>
  </si>
  <si>
    <t>1.15 V</t>
  </si>
  <si>
    <t xml:space="preserve"> 1.15V that is actual 7.64/CR5 </t>
  </si>
  <si>
    <t>it will scale &gt;70% and it depends on parasitics. It is under investigation. Today is 17 uA on CR 7.64</t>
  </si>
  <si>
    <t xml:space="preserve">- no Es thickness scaling </t>
  </si>
  <si>
    <t>- only WSiN scales from 5 nm to 4 nm</t>
  </si>
  <si>
    <t>no SD/PM thicknesses change - same sigma assumed as for actual silicon ED1 1us rev 7.64</t>
  </si>
  <si>
    <t>PM 40 nm</t>
  </si>
  <si>
    <r>
      <t xml:space="preserve">Reset/PM delta Vt required, @ min delay after write, </t>
    </r>
    <r>
      <rPr>
        <b/>
        <sz val="11"/>
        <color theme="1"/>
        <rFont val="Verdana"/>
        <family val="2"/>
      </rPr>
      <t>@85C</t>
    </r>
  </si>
  <si>
    <t>&lt;70% of 115uA =80uA</t>
  </si>
  <si>
    <t>30% lower than 20 series (7.64 silicon running at 120 uA) TECN will get back the residual</t>
  </si>
  <si>
    <t>4.41V</t>
  </si>
  <si>
    <t>5.59V</t>
  </si>
  <si>
    <t>5.56V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</si>
</sst>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E+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Verdana"/>
      <family val="2"/>
    </font>
    <font>
      <sz val="11"/>
      <name val="Arial"/>
      <family val="2"/>
    </font>
    <font>
      <sz val="11"/>
      <name val="Verdana"/>
      <family val="2"/>
    </font>
    <font>
      <sz val="11"/>
      <color theme="1"/>
      <name val="Verdana"/>
      <family val="2"/>
    </font>
    <font>
      <sz val="9.9"/>
      <color theme="1"/>
      <name val="Verdana"/>
      <family val="2"/>
    </font>
    <font>
      <b/>
      <sz val="11"/>
      <name val="Arial"/>
      <family val="2"/>
    </font>
    <font>
      <b/>
      <sz val="11"/>
      <color theme="1"/>
      <name val="Verdana"/>
      <family val="2"/>
    </font>
    <font>
      <b/>
      <u/>
      <sz val="11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Verdana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top"/>
    </xf>
    <xf numFmtId="0" fontId="4" fillId="0" borderId="0" xfId="4" applyFont="1" applyFill="1" applyBorder="1" applyAlignment="1">
      <alignment vertical="top"/>
    </xf>
    <xf numFmtId="0" fontId="0" fillId="0" borderId="0" xfId="0" applyFill="1"/>
    <xf numFmtId="0" fontId="3" fillId="3" borderId="1" xfId="4" applyFont="1" applyFill="1" applyBorder="1" applyAlignment="1">
      <alignment horizontal="center" vertical="center" wrapText="1"/>
    </xf>
    <xf numFmtId="0" fontId="4" fillId="3" borderId="0" xfId="4" applyFont="1" applyFill="1" applyAlignment="1">
      <alignment vertical="top" wrapText="1"/>
    </xf>
    <xf numFmtId="0" fontId="10" fillId="3" borderId="1" xfId="4" applyFont="1" applyFill="1" applyBorder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5" fillId="0" borderId="1" xfId="4" applyFont="1" applyFill="1" applyBorder="1" applyAlignment="1">
      <alignment vertical="top" wrapText="1"/>
    </xf>
    <xf numFmtId="0" fontId="4" fillId="0" borderId="1" xfId="4" applyFont="1" applyFill="1" applyBorder="1" applyAlignment="1">
      <alignment vertical="top"/>
    </xf>
    <xf numFmtId="0" fontId="6" fillId="2" borderId="1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top"/>
    </xf>
    <xf numFmtId="0" fontId="3" fillId="5" borderId="1" xfId="4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0" fillId="0" borderId="0" xfId="0"/>
    <xf numFmtId="0" fontId="4" fillId="0" borderId="0" xfId="4" applyFont="1" applyFill="1" applyAlignment="1">
      <alignment vertical="top"/>
    </xf>
    <xf numFmtId="0" fontId="4" fillId="0" borderId="0" xfId="4" applyFont="1" applyFill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11" fontId="6" fillId="2" borderId="1" xfId="4" applyNumberFormat="1" applyFont="1" applyFill="1" applyBorder="1" applyAlignment="1">
      <alignment horizontal="center" vertical="center" wrapText="1"/>
    </xf>
    <xf numFmtId="0" fontId="6" fillId="2" borderId="1" xfId="4" quotePrefix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center" vertical="center" wrapText="1"/>
    </xf>
    <xf numFmtId="164" fontId="6" fillId="2" borderId="1" xfId="4" applyNumberFormat="1" applyFont="1" applyFill="1" applyBorder="1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vertical="top"/>
    </xf>
    <xf numFmtId="0" fontId="13" fillId="2" borderId="1" xfId="4" applyFont="1" applyFill="1" applyBorder="1" applyAlignment="1">
      <alignment horizontal="center" vertical="top"/>
    </xf>
    <xf numFmtId="0" fontId="12" fillId="2" borderId="1" xfId="4" applyFont="1" applyFill="1" applyBorder="1" applyAlignment="1">
      <alignment horizontal="center" vertical="center" wrapText="1"/>
    </xf>
    <xf numFmtId="0" fontId="6" fillId="6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11" fontId="0" fillId="0" borderId="6" xfId="0" applyNumberFormat="1" applyBorder="1" applyAlignment="1">
      <alignment wrapText="1"/>
    </xf>
    <xf numFmtId="11" fontId="0" fillId="0" borderId="1" xfId="0" applyNumberFormat="1" applyBorder="1" applyAlignment="1">
      <alignment wrapText="1"/>
    </xf>
    <xf numFmtId="11" fontId="0" fillId="0" borderId="3" xfId="0" applyNumberForma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6" fillId="0" borderId="1" xfId="4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0" fontId="16" fillId="0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vertical="center" wrapText="1"/>
    </xf>
    <xf numFmtId="0" fontId="17" fillId="4" borderId="1" xfId="4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 wrapText="1"/>
    </xf>
    <xf numFmtId="0" fontId="0" fillId="8" borderId="0" xfId="0" applyFill="1"/>
    <xf numFmtId="0" fontId="0" fillId="7" borderId="0" xfId="0" applyFill="1"/>
    <xf numFmtId="0" fontId="0" fillId="4" borderId="0" xfId="0" applyFill="1"/>
    <xf numFmtId="0" fontId="0" fillId="11" borderId="0" xfId="0" applyFill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0" fillId="12" borderId="0" xfId="0" applyFill="1"/>
    <xf numFmtId="0" fontId="1" fillId="10" borderId="0" xfId="0" applyFont="1" applyFill="1" applyAlignment="1">
      <alignment horizontal="center" vertical="center"/>
    </xf>
    <xf numFmtId="0" fontId="0" fillId="0" borderId="0" xfId="0" quotePrefix="1"/>
    <xf numFmtId="0" fontId="18" fillId="0" borderId="0" xfId="0" applyFont="1" applyFill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0" xfId="0" quotePrefix="1" applyBorder="1"/>
    <xf numFmtId="0" fontId="0" fillId="0" borderId="0" xfId="0" applyBorder="1"/>
    <xf numFmtId="0" fontId="6" fillId="0" borderId="1" xfId="4" quotePrefix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3" xfId="0" applyBorder="1"/>
    <xf numFmtId="0" fontId="5" fillId="0" borderId="1" xfId="4" applyFont="1" applyFill="1" applyBorder="1" applyAlignment="1">
      <alignment horizontal="center" vertical="center" wrapText="1"/>
    </xf>
  </cellXfs>
  <cellStyles count="8">
    <cellStyle name="Comma 2" xfId="2"/>
    <cellStyle name="Comma 3" xfId="3"/>
    <cellStyle name="Normal" xfId="0" builtinId="0"/>
    <cellStyle name="Normal 2" xfId="1"/>
    <cellStyle name="Normal 3" xfId="4"/>
    <cellStyle name="Normal 3 2" xfId="5"/>
    <cellStyle name="Percent 2" xfId="6"/>
    <cellStyle name="Percent 3" xfId="7"/>
  </cellStyles>
  <dxfs count="16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theme="3" tint="0.79998168889431442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</dxf>
  </dxfs>
  <tableStyles count="1" defaultTableStyle="TableStyleMedium9" defaultPivotStyle="PivotStyleLight16">
    <tableStyle name="NSGDEDEFAULT" pivot="0" count="3">
      <tableStyleElement type="headerRow" dxfId="15"/>
      <tableStyleElement type="firstRowStripe" dxfId="14"/>
      <tableStyleElement type="secondRowStripe" dxfId="13"/>
    </tableStyle>
  </tableStyles>
  <colors>
    <mruColors>
      <color rgb="FFCCFF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119061</xdr:colOff>
      <xdr:row>47</xdr:row>
      <xdr:rowOff>523875</xdr:rowOff>
    </xdr:from>
    <xdr:ext cx="4936332" cy="84369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740061" y="7012781"/>
          <a:ext cx="4936332" cy="84369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1</a:t>
          </a:r>
        </a:p>
        <a:p>
          <a:r>
            <a:rPr lang="en-US" sz="2400"/>
            <a:t>CURRENTS SCALE by 70%</a:t>
          </a:r>
        </a:p>
      </xdr:txBody>
    </xdr:sp>
    <xdr:clientData/>
  </xdr:oneCellAnchor>
  <xdr:twoCellAnchor>
    <xdr:from>
      <xdr:col>11</xdr:col>
      <xdr:colOff>1701</xdr:colOff>
      <xdr:row>52</xdr:row>
      <xdr:rowOff>47625</xdr:rowOff>
    </xdr:from>
    <xdr:to>
      <xdr:col>11</xdr:col>
      <xdr:colOff>547687</xdr:colOff>
      <xdr:row>58</xdr:row>
      <xdr:rowOff>345281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051201" y="7136946"/>
          <a:ext cx="545986" cy="6650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140494</xdr:colOff>
      <xdr:row>36</xdr:row>
      <xdr:rowOff>176213</xdr:rowOff>
    </xdr:from>
    <xdr:ext cx="4926806" cy="8436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085594" y="3776663"/>
          <a:ext cx="4926806" cy="84369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1</a:t>
          </a:r>
        </a:p>
        <a:p>
          <a:r>
            <a:rPr lang="en-US" sz="2400"/>
            <a:t>CURRENTS SCALE by 70%</a:t>
          </a:r>
        </a:p>
      </xdr:txBody>
    </xdr:sp>
    <xdr:clientData/>
  </xdr:oneCellAnchor>
  <xdr:twoCellAnchor>
    <xdr:from>
      <xdr:col>10</xdr:col>
      <xdr:colOff>3581400</xdr:colOff>
      <xdr:row>36</xdr:row>
      <xdr:rowOff>307182</xdr:rowOff>
    </xdr:from>
    <xdr:to>
      <xdr:col>11</xdr:col>
      <xdr:colOff>521493</xdr:colOff>
      <xdr:row>37</xdr:row>
      <xdr:rowOff>342901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54525" y="3831432"/>
          <a:ext cx="690562" cy="6548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152400</xdr:colOff>
      <xdr:row>88</xdr:row>
      <xdr:rowOff>557211</xdr:rowOff>
    </xdr:from>
    <xdr:ext cx="4804200" cy="121937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71306" y="10820399"/>
          <a:ext cx="4804200" cy="121937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ASSUMPTION 2</a:t>
          </a:r>
        </a:p>
        <a:p>
          <a:endParaRPr lang="en-US" sz="2400"/>
        </a:p>
        <a:p>
          <a:r>
            <a:rPr lang="en-US" sz="2400"/>
            <a:t>Resistance</a:t>
          </a:r>
          <a:r>
            <a:rPr lang="en-US" sz="2400" baseline="0"/>
            <a:t>  increase to keep IR drops</a:t>
          </a:r>
          <a:endParaRPr lang="en-US" sz="2400"/>
        </a:p>
      </xdr:txBody>
    </xdr:sp>
    <xdr:clientData/>
  </xdr:oneCellAnchor>
  <xdr:twoCellAnchor>
    <xdr:from>
      <xdr:col>10</xdr:col>
      <xdr:colOff>3617119</xdr:colOff>
      <xdr:row>88</xdr:row>
      <xdr:rowOff>842962</xdr:rowOff>
    </xdr:from>
    <xdr:to>
      <xdr:col>11</xdr:col>
      <xdr:colOff>557212</xdr:colOff>
      <xdr:row>89</xdr:row>
      <xdr:rowOff>319088</xdr:rowOff>
    </xdr:to>
    <xdr:sp macro="" textlink="">
      <xdr:nvSpPr>
        <xdr:cNvPr id="7" name="Lef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190244" y="11106150"/>
          <a:ext cx="690562" cy="6548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42863</xdr:colOff>
      <xdr:row>92</xdr:row>
      <xdr:rowOff>102393</xdr:rowOff>
    </xdr:from>
    <xdr:ext cx="4891087" cy="195738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987963" y="13932693"/>
          <a:ext cx="4891087" cy="1957388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400"/>
            <a:t>ASSUMPTION 3</a:t>
          </a:r>
        </a:p>
        <a:p>
          <a:endParaRPr lang="en-US" sz="2400"/>
        </a:p>
        <a:p>
          <a:r>
            <a:rPr lang="en-US" sz="2400"/>
            <a:t>Capacitances/cell remain</a:t>
          </a:r>
          <a:r>
            <a:rPr lang="en-US" sz="2400" baseline="0"/>
            <a:t> the </a:t>
          </a:r>
          <a:br>
            <a:rPr lang="en-US" sz="2400" baseline="0"/>
          </a:br>
          <a:r>
            <a:rPr lang="en-US" sz="2400" baseline="0"/>
            <a:t>same as 20's, except cell cap which</a:t>
          </a:r>
          <a:br>
            <a:rPr lang="en-US" sz="2400" baseline="0"/>
          </a:br>
          <a:r>
            <a:rPr lang="en-US" sz="2400" baseline="0"/>
            <a:t>scales by 50%</a:t>
          </a:r>
          <a:endParaRPr lang="en-US" sz="2400"/>
        </a:p>
      </xdr:txBody>
    </xdr:sp>
    <xdr:clientData/>
  </xdr:oneCellAnchor>
  <xdr:twoCellAnchor>
    <xdr:from>
      <xdr:col>10</xdr:col>
      <xdr:colOff>3507582</xdr:colOff>
      <xdr:row>93</xdr:row>
      <xdr:rowOff>30956</xdr:rowOff>
    </xdr:from>
    <xdr:to>
      <xdr:col>11</xdr:col>
      <xdr:colOff>447675</xdr:colOff>
      <xdr:row>94</xdr:row>
      <xdr:rowOff>328613</xdr:rowOff>
    </xdr:to>
    <xdr:sp macro="" textlink="">
      <xdr:nvSpPr>
        <xdr:cNvPr id="9" name="Left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080707" y="14008894"/>
          <a:ext cx="690562" cy="6548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207850</xdr:colOff>
      <xdr:row>68</xdr:row>
      <xdr:rowOff>292894</xdr:rowOff>
    </xdr:from>
    <xdr:ext cx="4731543" cy="843693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842457" y="10865644"/>
          <a:ext cx="4731543" cy="84369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1</a:t>
          </a:r>
        </a:p>
        <a:p>
          <a:r>
            <a:rPr lang="en-US" sz="2400"/>
            <a:t>iHOLD toi be better understood</a:t>
          </a:r>
        </a:p>
      </xdr:txBody>
    </xdr:sp>
    <xdr:clientData/>
  </xdr:oneCellAnchor>
  <xdr:twoCellAnchor>
    <xdr:from>
      <xdr:col>10</xdr:col>
      <xdr:colOff>3686176</xdr:colOff>
      <xdr:row>68</xdr:row>
      <xdr:rowOff>161925</xdr:rowOff>
    </xdr:from>
    <xdr:to>
      <xdr:col>12</xdr:col>
      <xdr:colOff>30957</xdr:colOff>
      <xdr:row>88</xdr:row>
      <xdr:rowOff>54769</xdr:rowOff>
    </xdr:to>
    <xdr:sp macro="" textlink="">
      <xdr:nvSpPr>
        <xdr:cNvPr id="11" name="Left Arrow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7259301" y="9663113"/>
          <a:ext cx="690562" cy="6548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126207</xdr:colOff>
      <xdr:row>37</xdr:row>
      <xdr:rowOff>554832</xdr:rowOff>
    </xdr:from>
    <xdr:ext cx="4960143" cy="843693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5760814" y="5358153"/>
          <a:ext cx="4960143" cy="84369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5</a:t>
          </a:r>
        </a:p>
        <a:p>
          <a:r>
            <a:rPr lang="en-US" sz="2400"/>
            <a:t>DVt  1.15V</a:t>
          </a:r>
          <a:r>
            <a:rPr lang="en-US" sz="2400" baseline="0"/>
            <a:t> (actual 7.64 CR)</a:t>
          </a:r>
        </a:p>
      </xdr:txBody>
    </xdr:sp>
    <xdr:clientData/>
  </xdr:oneCellAnchor>
  <xdr:twoCellAnchor>
    <xdr:from>
      <xdr:col>11</xdr:col>
      <xdr:colOff>33338</xdr:colOff>
      <xdr:row>41</xdr:row>
      <xdr:rowOff>90488</xdr:rowOff>
    </xdr:from>
    <xdr:to>
      <xdr:col>11</xdr:col>
      <xdr:colOff>542925</xdr:colOff>
      <xdr:row>46</xdr:row>
      <xdr:rowOff>30957</xdr:rowOff>
    </xdr:to>
    <xdr:sp macro="" textlink="">
      <xdr:nvSpPr>
        <xdr:cNvPr id="15" name="Lef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059026" y="5507832"/>
          <a:ext cx="509587" cy="83343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135732</xdr:colOff>
      <xdr:row>31</xdr:row>
      <xdr:rowOff>88107</xdr:rowOff>
    </xdr:from>
    <xdr:ext cx="4912518" cy="843693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8080832" y="2221707"/>
          <a:ext cx="4912518" cy="84369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5</a:t>
          </a:r>
        </a:p>
        <a:p>
          <a:r>
            <a:rPr lang="en-US" sz="2400"/>
            <a:t>Vt Dist. match 20 series prepor</a:t>
          </a:r>
        </a:p>
      </xdr:txBody>
    </xdr:sp>
    <xdr:clientData/>
  </xdr:oneCellAnchor>
  <xdr:twoCellAnchor>
    <xdr:from>
      <xdr:col>10</xdr:col>
      <xdr:colOff>3576638</xdr:colOff>
      <xdr:row>32</xdr:row>
      <xdr:rowOff>52388</xdr:rowOff>
    </xdr:from>
    <xdr:to>
      <xdr:col>11</xdr:col>
      <xdr:colOff>516731</xdr:colOff>
      <xdr:row>35</xdr:row>
      <xdr:rowOff>350045</xdr:rowOff>
    </xdr:to>
    <xdr:sp macro="" textlink="">
      <xdr:nvSpPr>
        <xdr:cNvPr id="17" name="Left Arrow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7149763" y="2314576"/>
          <a:ext cx="690562" cy="6548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0</xdr:colOff>
      <xdr:row>66</xdr:row>
      <xdr:rowOff>0</xdr:rowOff>
    </xdr:from>
    <xdr:to>
      <xdr:col>11</xdr:col>
      <xdr:colOff>545986</xdr:colOff>
      <xdr:row>66</xdr:row>
      <xdr:rowOff>665049</xdr:rowOff>
    </xdr:to>
    <xdr:sp macro="" textlink="">
      <xdr:nvSpPr>
        <xdr:cNvPr id="19" name="Left Arrow 2">
          <a:extLst>
            <a:ext uri="{FF2B5EF4-FFF2-40B4-BE49-F238E27FC236}">
              <a16:creationId xmlns:a16="http://schemas.microsoft.com/office/drawing/2014/main" id="{6C90C166-1A99-4F15-A0F0-758E0FE90273}"/>
            </a:ext>
          </a:extLst>
        </xdr:cNvPr>
        <xdr:cNvSpPr/>
      </xdr:nvSpPr>
      <xdr:spPr>
        <a:xfrm>
          <a:off x="15049500" y="9157607"/>
          <a:ext cx="545986" cy="6650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12</xdr:col>
      <xdr:colOff>78240</xdr:colOff>
      <xdr:row>65</xdr:row>
      <xdr:rowOff>685459</xdr:rowOff>
    </xdr:from>
    <xdr:ext cx="4936332" cy="121937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93B343A-E69C-44B6-9F35-2C7A5D56CBD5}"/>
            </a:ext>
          </a:extLst>
        </xdr:cNvPr>
        <xdr:cNvSpPr txBox="1"/>
      </xdr:nvSpPr>
      <xdr:spPr>
        <a:xfrm>
          <a:off x="15712847" y="9040245"/>
          <a:ext cx="4936332" cy="1219373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/>
            <a:t>ASSUMPTION 4</a:t>
          </a:r>
        </a:p>
        <a:p>
          <a:r>
            <a:rPr lang="en-US" sz="2400"/>
            <a:t>no scaling impact but Es change</a:t>
          </a:r>
          <a:r>
            <a:rPr lang="en-US" sz="2400" baseline="0"/>
            <a:t> impact (CN in TE mainly)</a:t>
          </a:r>
          <a:endParaRPr lang="en-US" sz="24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F4:H51" totalsRowShown="0" headerRowBorderDxfId="12" tableBorderDxfId="11" totalsRowBorderDxfId="10">
  <autoFilter ref="F4:H51">
    <filterColumn colId="0" hiddenButton="1"/>
    <filterColumn colId="1" hiddenButton="1"/>
    <filterColumn colId="2" hiddenButton="1"/>
  </autoFilter>
  <tableColumns count="3">
    <tableColumn id="1" name="Column1" dataDxfId="9"/>
    <tableColumn id="2" name="20s POR" dataDxfId="8"/>
    <tableColumn id="3" name="20s Lower Vt" dataDxfId="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5" displayName="Table5" ref="I4:L51" totalsRowShown="0" headerRowDxfId="6" headerRowBorderDxfId="5" tableBorderDxfId="4" totalsRowBorderDxfId="3">
  <tableColumns count="4">
    <tableColumn id="1" name="30 Series 4Kx4K  1/2 leakage as 20s" dataDxfId="2"/>
    <tableColumn id="2" name="30 Series 4Kx8K 1/2 leakage as 20s" dataDxfId="1"/>
    <tableColumn id="3" name="30 Series 4Kx8K 10x lower leakage as 20s" dataDxfId="0"/>
    <tableColumn id="4" name="31 Series 4Kx8K 10x lower leakage as 20s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3"/>
  <sheetViews>
    <sheetView tabSelected="1" zoomScale="70" zoomScaleNormal="70" workbookViewId="0">
      <pane xSplit="3" ySplit="1" topLeftCell="E67" activePane="bottomRight" state="frozen"/>
      <selection pane="topRight" activeCell="D1" sqref="D1"/>
      <selection pane="bottomLeft" activeCell="A2" sqref="A2"/>
      <selection pane="bottomRight" activeCell="J67" sqref="J67"/>
    </sheetView>
  </sheetViews>
  <sheetFormatPr defaultColWidth="8.85546875" defaultRowHeight="15" x14ac:dyDescent="0.25"/>
  <cols>
    <col min="1" max="1" width="64.85546875" style="3" customWidth="1"/>
    <col min="2" max="3" width="28" style="10" hidden="1" customWidth="1"/>
    <col min="4" max="4" width="39.140625" style="28" hidden="1" customWidth="1"/>
    <col min="5" max="5" width="31.42578125" style="28" customWidth="1"/>
    <col min="6" max="6" width="29.85546875" style="34" hidden="1" customWidth="1"/>
    <col min="7" max="7" width="73.7109375" style="34" hidden="1" customWidth="1"/>
    <col min="8" max="8" width="26.42578125" style="14" customWidth="1"/>
    <col min="9" max="10" width="26.42578125" style="34" customWidth="1"/>
    <col min="11" max="11" width="49.85546875" style="4" customWidth="1"/>
    <col min="12" max="26" width="8.85546875" style="4"/>
    <col min="27" max="37" width="8.85546875" style="6"/>
    <col min="38" max="243" width="8.85546875" style="4"/>
    <col min="244" max="244" width="2.7109375" style="4" customWidth="1"/>
    <col min="245" max="245" width="36.42578125" style="4" customWidth="1"/>
    <col min="246" max="246" width="11" style="4" customWidth="1"/>
    <col min="247" max="247" width="4.85546875" style="4" customWidth="1"/>
    <col min="248" max="248" width="12.5703125" style="4" customWidth="1"/>
    <col min="249" max="249" width="9.28515625" style="4" bestFit="1" customWidth="1"/>
    <col min="250" max="250" width="13.140625" style="4" customWidth="1"/>
    <col min="251" max="251" width="38.140625" style="4" customWidth="1"/>
    <col min="252" max="252" width="32.28515625" style="4" bestFit="1" customWidth="1"/>
    <col min="253" max="253" width="41" style="4" customWidth="1"/>
    <col min="254" max="254" width="11.85546875" style="4" customWidth="1"/>
    <col min="255" max="499" width="8.85546875" style="4"/>
    <col min="500" max="500" width="2.7109375" style="4" customWidth="1"/>
    <col min="501" max="501" width="36.42578125" style="4" customWidth="1"/>
    <col min="502" max="502" width="11" style="4" customWidth="1"/>
    <col min="503" max="503" width="4.85546875" style="4" customWidth="1"/>
    <col min="504" max="504" width="12.5703125" style="4" customWidth="1"/>
    <col min="505" max="505" width="9.28515625" style="4" bestFit="1" customWidth="1"/>
    <col min="506" max="506" width="13.140625" style="4" customWidth="1"/>
    <col min="507" max="507" width="38.140625" style="4" customWidth="1"/>
    <col min="508" max="508" width="32.28515625" style="4" bestFit="1" customWidth="1"/>
    <col min="509" max="509" width="41" style="4" customWidth="1"/>
    <col min="510" max="510" width="11.85546875" style="4" customWidth="1"/>
    <col min="511" max="755" width="8.85546875" style="4"/>
    <col min="756" max="756" width="2.7109375" style="4" customWidth="1"/>
    <col min="757" max="757" width="36.42578125" style="4" customWidth="1"/>
    <col min="758" max="758" width="11" style="4" customWidth="1"/>
    <col min="759" max="759" width="4.85546875" style="4" customWidth="1"/>
    <col min="760" max="760" width="12.5703125" style="4" customWidth="1"/>
    <col min="761" max="761" width="9.28515625" style="4" bestFit="1" customWidth="1"/>
    <col min="762" max="762" width="13.140625" style="4" customWidth="1"/>
    <col min="763" max="763" width="38.140625" style="4" customWidth="1"/>
    <col min="764" max="764" width="32.28515625" style="4" bestFit="1" customWidth="1"/>
    <col min="765" max="765" width="41" style="4" customWidth="1"/>
    <col min="766" max="766" width="11.85546875" style="4" customWidth="1"/>
    <col min="767" max="1011" width="8.85546875" style="4"/>
    <col min="1012" max="1012" width="2.7109375" style="4" customWidth="1"/>
    <col min="1013" max="1013" width="36.42578125" style="4" customWidth="1"/>
    <col min="1014" max="1014" width="11" style="4" customWidth="1"/>
    <col min="1015" max="1015" width="4.85546875" style="4" customWidth="1"/>
    <col min="1016" max="1016" width="12.5703125" style="4" customWidth="1"/>
    <col min="1017" max="1017" width="9.28515625" style="4" bestFit="1" customWidth="1"/>
    <col min="1018" max="1018" width="13.140625" style="4" customWidth="1"/>
    <col min="1019" max="1019" width="38.140625" style="4" customWidth="1"/>
    <col min="1020" max="1020" width="32.28515625" style="4" bestFit="1" customWidth="1"/>
    <col min="1021" max="1021" width="41" style="4" customWidth="1"/>
    <col min="1022" max="1022" width="11.85546875" style="4" customWidth="1"/>
    <col min="1023" max="1267" width="8.85546875" style="4"/>
    <col min="1268" max="1268" width="2.7109375" style="4" customWidth="1"/>
    <col min="1269" max="1269" width="36.42578125" style="4" customWidth="1"/>
    <col min="1270" max="1270" width="11" style="4" customWidth="1"/>
    <col min="1271" max="1271" width="4.85546875" style="4" customWidth="1"/>
    <col min="1272" max="1272" width="12.5703125" style="4" customWidth="1"/>
    <col min="1273" max="1273" width="9.28515625" style="4" bestFit="1" customWidth="1"/>
    <col min="1274" max="1274" width="13.140625" style="4" customWidth="1"/>
    <col min="1275" max="1275" width="38.140625" style="4" customWidth="1"/>
    <col min="1276" max="1276" width="32.28515625" style="4" bestFit="1" customWidth="1"/>
    <col min="1277" max="1277" width="41" style="4" customWidth="1"/>
    <col min="1278" max="1278" width="11.85546875" style="4" customWidth="1"/>
    <col min="1279" max="1523" width="8.85546875" style="4"/>
    <col min="1524" max="1524" width="2.7109375" style="4" customWidth="1"/>
    <col min="1525" max="1525" width="36.42578125" style="4" customWidth="1"/>
    <col min="1526" max="1526" width="11" style="4" customWidth="1"/>
    <col min="1527" max="1527" width="4.85546875" style="4" customWidth="1"/>
    <col min="1528" max="1528" width="12.5703125" style="4" customWidth="1"/>
    <col min="1529" max="1529" width="9.28515625" style="4" bestFit="1" customWidth="1"/>
    <col min="1530" max="1530" width="13.140625" style="4" customWidth="1"/>
    <col min="1531" max="1531" width="38.140625" style="4" customWidth="1"/>
    <col min="1532" max="1532" width="32.28515625" style="4" bestFit="1" customWidth="1"/>
    <col min="1533" max="1533" width="41" style="4" customWidth="1"/>
    <col min="1534" max="1534" width="11.85546875" style="4" customWidth="1"/>
    <col min="1535" max="1779" width="8.85546875" style="4"/>
    <col min="1780" max="1780" width="2.7109375" style="4" customWidth="1"/>
    <col min="1781" max="1781" width="36.42578125" style="4" customWidth="1"/>
    <col min="1782" max="1782" width="11" style="4" customWidth="1"/>
    <col min="1783" max="1783" width="4.85546875" style="4" customWidth="1"/>
    <col min="1784" max="1784" width="12.5703125" style="4" customWidth="1"/>
    <col min="1785" max="1785" width="9.28515625" style="4" bestFit="1" customWidth="1"/>
    <col min="1786" max="1786" width="13.140625" style="4" customWidth="1"/>
    <col min="1787" max="1787" width="38.140625" style="4" customWidth="1"/>
    <col min="1788" max="1788" width="32.28515625" style="4" bestFit="1" customWidth="1"/>
    <col min="1789" max="1789" width="41" style="4" customWidth="1"/>
    <col min="1790" max="1790" width="11.85546875" style="4" customWidth="1"/>
    <col min="1791" max="2035" width="8.85546875" style="4"/>
    <col min="2036" max="2036" width="2.7109375" style="4" customWidth="1"/>
    <col min="2037" max="2037" width="36.42578125" style="4" customWidth="1"/>
    <col min="2038" max="2038" width="11" style="4" customWidth="1"/>
    <col min="2039" max="2039" width="4.85546875" style="4" customWidth="1"/>
    <col min="2040" max="2040" width="12.5703125" style="4" customWidth="1"/>
    <col min="2041" max="2041" width="9.28515625" style="4" bestFit="1" customWidth="1"/>
    <col min="2042" max="2042" width="13.140625" style="4" customWidth="1"/>
    <col min="2043" max="2043" width="38.140625" style="4" customWidth="1"/>
    <col min="2044" max="2044" width="32.28515625" style="4" bestFit="1" customWidth="1"/>
    <col min="2045" max="2045" width="41" style="4" customWidth="1"/>
    <col min="2046" max="2046" width="11.85546875" style="4" customWidth="1"/>
    <col min="2047" max="2291" width="8.85546875" style="4"/>
    <col min="2292" max="2292" width="2.7109375" style="4" customWidth="1"/>
    <col min="2293" max="2293" width="36.42578125" style="4" customWidth="1"/>
    <col min="2294" max="2294" width="11" style="4" customWidth="1"/>
    <col min="2295" max="2295" width="4.85546875" style="4" customWidth="1"/>
    <col min="2296" max="2296" width="12.5703125" style="4" customWidth="1"/>
    <col min="2297" max="2297" width="9.28515625" style="4" bestFit="1" customWidth="1"/>
    <col min="2298" max="2298" width="13.140625" style="4" customWidth="1"/>
    <col min="2299" max="2299" width="38.140625" style="4" customWidth="1"/>
    <col min="2300" max="2300" width="32.28515625" style="4" bestFit="1" customWidth="1"/>
    <col min="2301" max="2301" width="41" style="4" customWidth="1"/>
    <col min="2302" max="2302" width="11.85546875" style="4" customWidth="1"/>
    <col min="2303" max="2547" width="8.85546875" style="4"/>
    <col min="2548" max="2548" width="2.7109375" style="4" customWidth="1"/>
    <col min="2549" max="2549" width="36.42578125" style="4" customWidth="1"/>
    <col min="2550" max="2550" width="11" style="4" customWidth="1"/>
    <col min="2551" max="2551" width="4.85546875" style="4" customWidth="1"/>
    <col min="2552" max="2552" width="12.5703125" style="4" customWidth="1"/>
    <col min="2553" max="2553" width="9.28515625" style="4" bestFit="1" customWidth="1"/>
    <col min="2554" max="2554" width="13.140625" style="4" customWidth="1"/>
    <col min="2555" max="2555" width="38.140625" style="4" customWidth="1"/>
    <col min="2556" max="2556" width="32.28515625" style="4" bestFit="1" customWidth="1"/>
    <col min="2557" max="2557" width="41" style="4" customWidth="1"/>
    <col min="2558" max="2558" width="11.85546875" style="4" customWidth="1"/>
    <col min="2559" max="2803" width="8.85546875" style="4"/>
    <col min="2804" max="2804" width="2.7109375" style="4" customWidth="1"/>
    <col min="2805" max="2805" width="36.42578125" style="4" customWidth="1"/>
    <col min="2806" max="2806" width="11" style="4" customWidth="1"/>
    <col min="2807" max="2807" width="4.85546875" style="4" customWidth="1"/>
    <col min="2808" max="2808" width="12.5703125" style="4" customWidth="1"/>
    <col min="2809" max="2809" width="9.28515625" style="4" bestFit="1" customWidth="1"/>
    <col min="2810" max="2810" width="13.140625" style="4" customWidth="1"/>
    <col min="2811" max="2811" width="38.140625" style="4" customWidth="1"/>
    <col min="2812" max="2812" width="32.28515625" style="4" bestFit="1" customWidth="1"/>
    <col min="2813" max="2813" width="41" style="4" customWidth="1"/>
    <col min="2814" max="2814" width="11.85546875" style="4" customWidth="1"/>
    <col min="2815" max="3059" width="8.85546875" style="4"/>
    <col min="3060" max="3060" width="2.7109375" style="4" customWidth="1"/>
    <col min="3061" max="3061" width="36.42578125" style="4" customWidth="1"/>
    <col min="3062" max="3062" width="11" style="4" customWidth="1"/>
    <col min="3063" max="3063" width="4.85546875" style="4" customWidth="1"/>
    <col min="3064" max="3064" width="12.5703125" style="4" customWidth="1"/>
    <col min="3065" max="3065" width="9.28515625" style="4" bestFit="1" customWidth="1"/>
    <col min="3066" max="3066" width="13.140625" style="4" customWidth="1"/>
    <col min="3067" max="3067" width="38.140625" style="4" customWidth="1"/>
    <col min="3068" max="3068" width="32.28515625" style="4" bestFit="1" customWidth="1"/>
    <col min="3069" max="3069" width="41" style="4" customWidth="1"/>
    <col min="3070" max="3070" width="11.85546875" style="4" customWidth="1"/>
    <col min="3071" max="3315" width="8.85546875" style="4"/>
    <col min="3316" max="3316" width="2.7109375" style="4" customWidth="1"/>
    <col min="3317" max="3317" width="36.42578125" style="4" customWidth="1"/>
    <col min="3318" max="3318" width="11" style="4" customWidth="1"/>
    <col min="3319" max="3319" width="4.85546875" style="4" customWidth="1"/>
    <col min="3320" max="3320" width="12.5703125" style="4" customWidth="1"/>
    <col min="3321" max="3321" width="9.28515625" style="4" bestFit="1" customWidth="1"/>
    <col min="3322" max="3322" width="13.140625" style="4" customWidth="1"/>
    <col min="3323" max="3323" width="38.140625" style="4" customWidth="1"/>
    <col min="3324" max="3324" width="32.28515625" style="4" bestFit="1" customWidth="1"/>
    <col min="3325" max="3325" width="41" style="4" customWidth="1"/>
    <col min="3326" max="3326" width="11.85546875" style="4" customWidth="1"/>
    <col min="3327" max="3571" width="8.85546875" style="4"/>
    <col min="3572" max="3572" width="2.7109375" style="4" customWidth="1"/>
    <col min="3573" max="3573" width="36.42578125" style="4" customWidth="1"/>
    <col min="3574" max="3574" width="11" style="4" customWidth="1"/>
    <col min="3575" max="3575" width="4.85546875" style="4" customWidth="1"/>
    <col min="3576" max="3576" width="12.5703125" style="4" customWidth="1"/>
    <col min="3577" max="3577" width="9.28515625" style="4" bestFit="1" customWidth="1"/>
    <col min="3578" max="3578" width="13.140625" style="4" customWidth="1"/>
    <col min="3579" max="3579" width="38.140625" style="4" customWidth="1"/>
    <col min="3580" max="3580" width="32.28515625" style="4" bestFit="1" customWidth="1"/>
    <col min="3581" max="3581" width="41" style="4" customWidth="1"/>
    <col min="3582" max="3582" width="11.85546875" style="4" customWidth="1"/>
    <col min="3583" max="3827" width="8.85546875" style="4"/>
    <col min="3828" max="3828" width="2.7109375" style="4" customWidth="1"/>
    <col min="3829" max="3829" width="36.42578125" style="4" customWidth="1"/>
    <col min="3830" max="3830" width="11" style="4" customWidth="1"/>
    <col min="3831" max="3831" width="4.85546875" style="4" customWidth="1"/>
    <col min="3832" max="3832" width="12.5703125" style="4" customWidth="1"/>
    <col min="3833" max="3833" width="9.28515625" style="4" bestFit="1" customWidth="1"/>
    <col min="3834" max="3834" width="13.140625" style="4" customWidth="1"/>
    <col min="3835" max="3835" width="38.140625" style="4" customWidth="1"/>
    <col min="3836" max="3836" width="32.28515625" style="4" bestFit="1" customWidth="1"/>
    <col min="3837" max="3837" width="41" style="4" customWidth="1"/>
    <col min="3838" max="3838" width="11.85546875" style="4" customWidth="1"/>
    <col min="3839" max="4083" width="8.85546875" style="4"/>
    <col min="4084" max="4084" width="2.7109375" style="4" customWidth="1"/>
    <col min="4085" max="4085" width="36.42578125" style="4" customWidth="1"/>
    <col min="4086" max="4086" width="11" style="4" customWidth="1"/>
    <col min="4087" max="4087" width="4.85546875" style="4" customWidth="1"/>
    <col min="4088" max="4088" width="12.5703125" style="4" customWidth="1"/>
    <col min="4089" max="4089" width="9.28515625" style="4" bestFit="1" customWidth="1"/>
    <col min="4090" max="4090" width="13.140625" style="4" customWidth="1"/>
    <col min="4091" max="4091" width="38.140625" style="4" customWidth="1"/>
    <col min="4092" max="4092" width="32.28515625" style="4" bestFit="1" customWidth="1"/>
    <col min="4093" max="4093" width="41" style="4" customWidth="1"/>
    <col min="4094" max="4094" width="11.85546875" style="4" customWidth="1"/>
    <col min="4095" max="4339" width="8.85546875" style="4"/>
    <col min="4340" max="4340" width="2.7109375" style="4" customWidth="1"/>
    <col min="4341" max="4341" width="36.42578125" style="4" customWidth="1"/>
    <col min="4342" max="4342" width="11" style="4" customWidth="1"/>
    <col min="4343" max="4343" width="4.85546875" style="4" customWidth="1"/>
    <col min="4344" max="4344" width="12.5703125" style="4" customWidth="1"/>
    <col min="4345" max="4345" width="9.28515625" style="4" bestFit="1" customWidth="1"/>
    <col min="4346" max="4346" width="13.140625" style="4" customWidth="1"/>
    <col min="4347" max="4347" width="38.140625" style="4" customWidth="1"/>
    <col min="4348" max="4348" width="32.28515625" style="4" bestFit="1" customWidth="1"/>
    <col min="4349" max="4349" width="41" style="4" customWidth="1"/>
    <col min="4350" max="4350" width="11.85546875" style="4" customWidth="1"/>
    <col min="4351" max="4595" width="8.85546875" style="4"/>
    <col min="4596" max="4596" width="2.7109375" style="4" customWidth="1"/>
    <col min="4597" max="4597" width="36.42578125" style="4" customWidth="1"/>
    <col min="4598" max="4598" width="11" style="4" customWidth="1"/>
    <col min="4599" max="4599" width="4.85546875" style="4" customWidth="1"/>
    <col min="4600" max="4600" width="12.5703125" style="4" customWidth="1"/>
    <col min="4601" max="4601" width="9.28515625" style="4" bestFit="1" customWidth="1"/>
    <col min="4602" max="4602" width="13.140625" style="4" customWidth="1"/>
    <col min="4603" max="4603" width="38.140625" style="4" customWidth="1"/>
    <col min="4604" max="4604" width="32.28515625" style="4" bestFit="1" customWidth="1"/>
    <col min="4605" max="4605" width="41" style="4" customWidth="1"/>
    <col min="4606" max="4606" width="11.85546875" style="4" customWidth="1"/>
    <col min="4607" max="4851" width="8.85546875" style="4"/>
    <col min="4852" max="4852" width="2.7109375" style="4" customWidth="1"/>
    <col min="4853" max="4853" width="36.42578125" style="4" customWidth="1"/>
    <col min="4854" max="4854" width="11" style="4" customWidth="1"/>
    <col min="4855" max="4855" width="4.85546875" style="4" customWidth="1"/>
    <col min="4856" max="4856" width="12.5703125" style="4" customWidth="1"/>
    <col min="4857" max="4857" width="9.28515625" style="4" bestFit="1" customWidth="1"/>
    <col min="4858" max="4858" width="13.140625" style="4" customWidth="1"/>
    <col min="4859" max="4859" width="38.140625" style="4" customWidth="1"/>
    <col min="4860" max="4860" width="32.28515625" style="4" bestFit="1" customWidth="1"/>
    <col min="4861" max="4861" width="41" style="4" customWidth="1"/>
    <col min="4862" max="4862" width="11.85546875" style="4" customWidth="1"/>
    <col min="4863" max="5107" width="8.85546875" style="4"/>
    <col min="5108" max="5108" width="2.7109375" style="4" customWidth="1"/>
    <col min="5109" max="5109" width="36.42578125" style="4" customWidth="1"/>
    <col min="5110" max="5110" width="11" style="4" customWidth="1"/>
    <col min="5111" max="5111" width="4.85546875" style="4" customWidth="1"/>
    <col min="5112" max="5112" width="12.5703125" style="4" customWidth="1"/>
    <col min="5113" max="5113" width="9.28515625" style="4" bestFit="1" customWidth="1"/>
    <col min="5114" max="5114" width="13.140625" style="4" customWidth="1"/>
    <col min="5115" max="5115" width="38.140625" style="4" customWidth="1"/>
    <col min="5116" max="5116" width="32.28515625" style="4" bestFit="1" customWidth="1"/>
    <col min="5117" max="5117" width="41" style="4" customWidth="1"/>
    <col min="5118" max="5118" width="11.85546875" style="4" customWidth="1"/>
    <col min="5119" max="5363" width="8.85546875" style="4"/>
    <col min="5364" max="5364" width="2.7109375" style="4" customWidth="1"/>
    <col min="5365" max="5365" width="36.42578125" style="4" customWidth="1"/>
    <col min="5366" max="5366" width="11" style="4" customWidth="1"/>
    <col min="5367" max="5367" width="4.85546875" style="4" customWidth="1"/>
    <col min="5368" max="5368" width="12.5703125" style="4" customWidth="1"/>
    <col min="5369" max="5369" width="9.28515625" style="4" bestFit="1" customWidth="1"/>
    <col min="5370" max="5370" width="13.140625" style="4" customWidth="1"/>
    <col min="5371" max="5371" width="38.140625" style="4" customWidth="1"/>
    <col min="5372" max="5372" width="32.28515625" style="4" bestFit="1" customWidth="1"/>
    <col min="5373" max="5373" width="41" style="4" customWidth="1"/>
    <col min="5374" max="5374" width="11.85546875" style="4" customWidth="1"/>
    <col min="5375" max="5619" width="8.85546875" style="4"/>
    <col min="5620" max="5620" width="2.7109375" style="4" customWidth="1"/>
    <col min="5621" max="5621" width="36.42578125" style="4" customWidth="1"/>
    <col min="5622" max="5622" width="11" style="4" customWidth="1"/>
    <col min="5623" max="5623" width="4.85546875" style="4" customWidth="1"/>
    <col min="5624" max="5624" width="12.5703125" style="4" customWidth="1"/>
    <col min="5625" max="5625" width="9.28515625" style="4" bestFit="1" customWidth="1"/>
    <col min="5626" max="5626" width="13.140625" style="4" customWidth="1"/>
    <col min="5627" max="5627" width="38.140625" style="4" customWidth="1"/>
    <col min="5628" max="5628" width="32.28515625" style="4" bestFit="1" customWidth="1"/>
    <col min="5629" max="5629" width="41" style="4" customWidth="1"/>
    <col min="5630" max="5630" width="11.85546875" style="4" customWidth="1"/>
    <col min="5631" max="5875" width="8.85546875" style="4"/>
    <col min="5876" max="5876" width="2.7109375" style="4" customWidth="1"/>
    <col min="5877" max="5877" width="36.42578125" style="4" customWidth="1"/>
    <col min="5878" max="5878" width="11" style="4" customWidth="1"/>
    <col min="5879" max="5879" width="4.85546875" style="4" customWidth="1"/>
    <col min="5880" max="5880" width="12.5703125" style="4" customWidth="1"/>
    <col min="5881" max="5881" width="9.28515625" style="4" bestFit="1" customWidth="1"/>
    <col min="5882" max="5882" width="13.140625" style="4" customWidth="1"/>
    <col min="5883" max="5883" width="38.140625" style="4" customWidth="1"/>
    <col min="5884" max="5884" width="32.28515625" style="4" bestFit="1" customWidth="1"/>
    <col min="5885" max="5885" width="41" style="4" customWidth="1"/>
    <col min="5886" max="5886" width="11.85546875" style="4" customWidth="1"/>
    <col min="5887" max="6131" width="8.85546875" style="4"/>
    <col min="6132" max="6132" width="2.7109375" style="4" customWidth="1"/>
    <col min="6133" max="6133" width="36.42578125" style="4" customWidth="1"/>
    <col min="6134" max="6134" width="11" style="4" customWidth="1"/>
    <col min="6135" max="6135" width="4.85546875" style="4" customWidth="1"/>
    <col min="6136" max="6136" width="12.5703125" style="4" customWidth="1"/>
    <col min="6137" max="6137" width="9.28515625" style="4" bestFit="1" customWidth="1"/>
    <col min="6138" max="6138" width="13.140625" style="4" customWidth="1"/>
    <col min="6139" max="6139" width="38.140625" style="4" customWidth="1"/>
    <col min="6140" max="6140" width="32.28515625" style="4" bestFit="1" customWidth="1"/>
    <col min="6141" max="6141" width="41" style="4" customWidth="1"/>
    <col min="6142" max="6142" width="11.85546875" style="4" customWidth="1"/>
    <col min="6143" max="6387" width="8.85546875" style="4"/>
    <col min="6388" max="6388" width="2.7109375" style="4" customWidth="1"/>
    <col min="6389" max="6389" width="36.42578125" style="4" customWidth="1"/>
    <col min="6390" max="6390" width="11" style="4" customWidth="1"/>
    <col min="6391" max="6391" width="4.85546875" style="4" customWidth="1"/>
    <col min="6392" max="6392" width="12.5703125" style="4" customWidth="1"/>
    <col min="6393" max="6393" width="9.28515625" style="4" bestFit="1" customWidth="1"/>
    <col min="6394" max="6394" width="13.140625" style="4" customWidth="1"/>
    <col min="6395" max="6395" width="38.140625" style="4" customWidth="1"/>
    <col min="6396" max="6396" width="32.28515625" style="4" bestFit="1" customWidth="1"/>
    <col min="6397" max="6397" width="41" style="4" customWidth="1"/>
    <col min="6398" max="6398" width="11.85546875" style="4" customWidth="1"/>
    <col min="6399" max="6643" width="8.85546875" style="4"/>
    <col min="6644" max="6644" width="2.7109375" style="4" customWidth="1"/>
    <col min="6645" max="6645" width="36.42578125" style="4" customWidth="1"/>
    <col min="6646" max="6646" width="11" style="4" customWidth="1"/>
    <col min="6647" max="6647" width="4.85546875" style="4" customWidth="1"/>
    <col min="6648" max="6648" width="12.5703125" style="4" customWidth="1"/>
    <col min="6649" max="6649" width="9.28515625" style="4" bestFit="1" customWidth="1"/>
    <col min="6650" max="6650" width="13.140625" style="4" customWidth="1"/>
    <col min="6651" max="6651" width="38.140625" style="4" customWidth="1"/>
    <col min="6652" max="6652" width="32.28515625" style="4" bestFit="1" customWidth="1"/>
    <col min="6653" max="6653" width="41" style="4" customWidth="1"/>
    <col min="6654" max="6654" width="11.85546875" style="4" customWidth="1"/>
    <col min="6655" max="6899" width="8.85546875" style="4"/>
    <col min="6900" max="6900" width="2.7109375" style="4" customWidth="1"/>
    <col min="6901" max="6901" width="36.42578125" style="4" customWidth="1"/>
    <col min="6902" max="6902" width="11" style="4" customWidth="1"/>
    <col min="6903" max="6903" width="4.85546875" style="4" customWidth="1"/>
    <col min="6904" max="6904" width="12.5703125" style="4" customWidth="1"/>
    <col min="6905" max="6905" width="9.28515625" style="4" bestFit="1" customWidth="1"/>
    <col min="6906" max="6906" width="13.140625" style="4" customWidth="1"/>
    <col min="6907" max="6907" width="38.140625" style="4" customWidth="1"/>
    <col min="6908" max="6908" width="32.28515625" style="4" bestFit="1" customWidth="1"/>
    <col min="6909" max="6909" width="41" style="4" customWidth="1"/>
    <col min="6910" max="6910" width="11.85546875" style="4" customWidth="1"/>
    <col min="6911" max="7155" width="8.85546875" style="4"/>
    <col min="7156" max="7156" width="2.7109375" style="4" customWidth="1"/>
    <col min="7157" max="7157" width="36.42578125" style="4" customWidth="1"/>
    <col min="7158" max="7158" width="11" style="4" customWidth="1"/>
    <col min="7159" max="7159" width="4.85546875" style="4" customWidth="1"/>
    <col min="7160" max="7160" width="12.5703125" style="4" customWidth="1"/>
    <col min="7161" max="7161" width="9.28515625" style="4" bestFit="1" customWidth="1"/>
    <col min="7162" max="7162" width="13.140625" style="4" customWidth="1"/>
    <col min="7163" max="7163" width="38.140625" style="4" customWidth="1"/>
    <col min="7164" max="7164" width="32.28515625" style="4" bestFit="1" customWidth="1"/>
    <col min="7165" max="7165" width="41" style="4" customWidth="1"/>
    <col min="7166" max="7166" width="11.85546875" style="4" customWidth="1"/>
    <col min="7167" max="7411" width="8.85546875" style="4"/>
    <col min="7412" max="7412" width="2.7109375" style="4" customWidth="1"/>
    <col min="7413" max="7413" width="36.42578125" style="4" customWidth="1"/>
    <col min="7414" max="7414" width="11" style="4" customWidth="1"/>
    <col min="7415" max="7415" width="4.85546875" style="4" customWidth="1"/>
    <col min="7416" max="7416" width="12.5703125" style="4" customWidth="1"/>
    <col min="7417" max="7417" width="9.28515625" style="4" bestFit="1" customWidth="1"/>
    <col min="7418" max="7418" width="13.140625" style="4" customWidth="1"/>
    <col min="7419" max="7419" width="38.140625" style="4" customWidth="1"/>
    <col min="7420" max="7420" width="32.28515625" style="4" bestFit="1" customWidth="1"/>
    <col min="7421" max="7421" width="41" style="4" customWidth="1"/>
    <col min="7422" max="7422" width="11.85546875" style="4" customWidth="1"/>
    <col min="7423" max="7667" width="8.85546875" style="4"/>
    <col min="7668" max="7668" width="2.7109375" style="4" customWidth="1"/>
    <col min="7669" max="7669" width="36.42578125" style="4" customWidth="1"/>
    <col min="7670" max="7670" width="11" style="4" customWidth="1"/>
    <col min="7671" max="7671" width="4.85546875" style="4" customWidth="1"/>
    <col min="7672" max="7672" width="12.5703125" style="4" customWidth="1"/>
    <col min="7673" max="7673" width="9.28515625" style="4" bestFit="1" customWidth="1"/>
    <col min="7674" max="7674" width="13.140625" style="4" customWidth="1"/>
    <col min="7675" max="7675" width="38.140625" style="4" customWidth="1"/>
    <col min="7676" max="7676" width="32.28515625" style="4" bestFit="1" customWidth="1"/>
    <col min="7677" max="7677" width="41" style="4" customWidth="1"/>
    <col min="7678" max="7678" width="11.85546875" style="4" customWidth="1"/>
    <col min="7679" max="7923" width="8.85546875" style="4"/>
    <col min="7924" max="7924" width="2.7109375" style="4" customWidth="1"/>
    <col min="7925" max="7925" width="36.42578125" style="4" customWidth="1"/>
    <col min="7926" max="7926" width="11" style="4" customWidth="1"/>
    <col min="7927" max="7927" width="4.85546875" style="4" customWidth="1"/>
    <col min="7928" max="7928" width="12.5703125" style="4" customWidth="1"/>
    <col min="7929" max="7929" width="9.28515625" style="4" bestFit="1" customWidth="1"/>
    <col min="7930" max="7930" width="13.140625" style="4" customWidth="1"/>
    <col min="7931" max="7931" width="38.140625" style="4" customWidth="1"/>
    <col min="7932" max="7932" width="32.28515625" style="4" bestFit="1" customWidth="1"/>
    <col min="7933" max="7933" width="41" style="4" customWidth="1"/>
    <col min="7934" max="7934" width="11.85546875" style="4" customWidth="1"/>
    <col min="7935" max="8179" width="8.85546875" style="4"/>
    <col min="8180" max="8180" width="2.7109375" style="4" customWidth="1"/>
    <col min="8181" max="8181" width="36.42578125" style="4" customWidth="1"/>
    <col min="8182" max="8182" width="11" style="4" customWidth="1"/>
    <col min="8183" max="8183" width="4.85546875" style="4" customWidth="1"/>
    <col min="8184" max="8184" width="12.5703125" style="4" customWidth="1"/>
    <col min="8185" max="8185" width="9.28515625" style="4" bestFit="1" customWidth="1"/>
    <col min="8186" max="8186" width="13.140625" style="4" customWidth="1"/>
    <col min="8187" max="8187" width="38.140625" style="4" customWidth="1"/>
    <col min="8188" max="8188" width="32.28515625" style="4" bestFit="1" customWidth="1"/>
    <col min="8189" max="8189" width="41" style="4" customWidth="1"/>
    <col min="8190" max="8190" width="11.85546875" style="4" customWidth="1"/>
    <col min="8191" max="8435" width="8.85546875" style="4"/>
    <col min="8436" max="8436" width="2.7109375" style="4" customWidth="1"/>
    <col min="8437" max="8437" width="36.42578125" style="4" customWidth="1"/>
    <col min="8438" max="8438" width="11" style="4" customWidth="1"/>
    <col min="8439" max="8439" width="4.85546875" style="4" customWidth="1"/>
    <col min="8440" max="8440" width="12.5703125" style="4" customWidth="1"/>
    <col min="8441" max="8441" width="9.28515625" style="4" bestFit="1" customWidth="1"/>
    <col min="8442" max="8442" width="13.140625" style="4" customWidth="1"/>
    <col min="8443" max="8443" width="38.140625" style="4" customWidth="1"/>
    <col min="8444" max="8444" width="32.28515625" style="4" bestFit="1" customWidth="1"/>
    <col min="8445" max="8445" width="41" style="4" customWidth="1"/>
    <col min="8446" max="8446" width="11.85546875" style="4" customWidth="1"/>
    <col min="8447" max="8691" width="8.85546875" style="4"/>
    <col min="8692" max="8692" width="2.7109375" style="4" customWidth="1"/>
    <col min="8693" max="8693" width="36.42578125" style="4" customWidth="1"/>
    <col min="8694" max="8694" width="11" style="4" customWidth="1"/>
    <col min="8695" max="8695" width="4.85546875" style="4" customWidth="1"/>
    <col min="8696" max="8696" width="12.5703125" style="4" customWidth="1"/>
    <col min="8697" max="8697" width="9.28515625" style="4" bestFit="1" customWidth="1"/>
    <col min="8698" max="8698" width="13.140625" style="4" customWidth="1"/>
    <col min="8699" max="8699" width="38.140625" style="4" customWidth="1"/>
    <col min="8700" max="8700" width="32.28515625" style="4" bestFit="1" customWidth="1"/>
    <col min="8701" max="8701" width="41" style="4" customWidth="1"/>
    <col min="8702" max="8702" width="11.85546875" style="4" customWidth="1"/>
    <col min="8703" max="8947" width="8.85546875" style="4"/>
    <col min="8948" max="8948" width="2.7109375" style="4" customWidth="1"/>
    <col min="8949" max="8949" width="36.42578125" style="4" customWidth="1"/>
    <col min="8950" max="8950" width="11" style="4" customWidth="1"/>
    <col min="8951" max="8951" width="4.85546875" style="4" customWidth="1"/>
    <col min="8952" max="8952" width="12.5703125" style="4" customWidth="1"/>
    <col min="8953" max="8953" width="9.28515625" style="4" bestFit="1" customWidth="1"/>
    <col min="8954" max="8954" width="13.140625" style="4" customWidth="1"/>
    <col min="8955" max="8955" width="38.140625" style="4" customWidth="1"/>
    <col min="8956" max="8956" width="32.28515625" style="4" bestFit="1" customWidth="1"/>
    <col min="8957" max="8957" width="41" style="4" customWidth="1"/>
    <col min="8958" max="8958" width="11.85546875" style="4" customWidth="1"/>
    <col min="8959" max="9203" width="8.85546875" style="4"/>
    <col min="9204" max="9204" width="2.7109375" style="4" customWidth="1"/>
    <col min="9205" max="9205" width="36.42578125" style="4" customWidth="1"/>
    <col min="9206" max="9206" width="11" style="4" customWidth="1"/>
    <col min="9207" max="9207" width="4.85546875" style="4" customWidth="1"/>
    <col min="9208" max="9208" width="12.5703125" style="4" customWidth="1"/>
    <col min="9209" max="9209" width="9.28515625" style="4" bestFit="1" customWidth="1"/>
    <col min="9210" max="9210" width="13.140625" style="4" customWidth="1"/>
    <col min="9211" max="9211" width="38.140625" style="4" customWidth="1"/>
    <col min="9212" max="9212" width="32.28515625" style="4" bestFit="1" customWidth="1"/>
    <col min="9213" max="9213" width="41" style="4" customWidth="1"/>
    <col min="9214" max="9214" width="11.85546875" style="4" customWidth="1"/>
    <col min="9215" max="9459" width="8.85546875" style="4"/>
    <col min="9460" max="9460" width="2.7109375" style="4" customWidth="1"/>
    <col min="9461" max="9461" width="36.42578125" style="4" customWidth="1"/>
    <col min="9462" max="9462" width="11" style="4" customWidth="1"/>
    <col min="9463" max="9463" width="4.85546875" style="4" customWidth="1"/>
    <col min="9464" max="9464" width="12.5703125" style="4" customWidth="1"/>
    <col min="9465" max="9465" width="9.28515625" style="4" bestFit="1" customWidth="1"/>
    <col min="9466" max="9466" width="13.140625" style="4" customWidth="1"/>
    <col min="9467" max="9467" width="38.140625" style="4" customWidth="1"/>
    <col min="9468" max="9468" width="32.28515625" style="4" bestFit="1" customWidth="1"/>
    <col min="9469" max="9469" width="41" style="4" customWidth="1"/>
    <col min="9470" max="9470" width="11.85546875" style="4" customWidth="1"/>
    <col min="9471" max="9715" width="8.85546875" style="4"/>
    <col min="9716" max="9716" width="2.7109375" style="4" customWidth="1"/>
    <col min="9717" max="9717" width="36.42578125" style="4" customWidth="1"/>
    <col min="9718" max="9718" width="11" style="4" customWidth="1"/>
    <col min="9719" max="9719" width="4.85546875" style="4" customWidth="1"/>
    <col min="9720" max="9720" width="12.5703125" style="4" customWidth="1"/>
    <col min="9721" max="9721" width="9.28515625" style="4" bestFit="1" customWidth="1"/>
    <col min="9722" max="9722" width="13.140625" style="4" customWidth="1"/>
    <col min="9723" max="9723" width="38.140625" style="4" customWidth="1"/>
    <col min="9724" max="9724" width="32.28515625" style="4" bestFit="1" customWidth="1"/>
    <col min="9725" max="9725" width="41" style="4" customWidth="1"/>
    <col min="9726" max="9726" width="11.85546875" style="4" customWidth="1"/>
    <col min="9727" max="9971" width="8.85546875" style="4"/>
    <col min="9972" max="9972" width="2.7109375" style="4" customWidth="1"/>
    <col min="9973" max="9973" width="36.42578125" style="4" customWidth="1"/>
    <col min="9974" max="9974" width="11" style="4" customWidth="1"/>
    <col min="9975" max="9975" width="4.85546875" style="4" customWidth="1"/>
    <col min="9976" max="9976" width="12.5703125" style="4" customWidth="1"/>
    <col min="9977" max="9977" width="9.28515625" style="4" bestFit="1" customWidth="1"/>
    <col min="9978" max="9978" width="13.140625" style="4" customWidth="1"/>
    <col min="9979" max="9979" width="38.140625" style="4" customWidth="1"/>
    <col min="9980" max="9980" width="32.28515625" style="4" bestFit="1" customWidth="1"/>
    <col min="9981" max="9981" width="41" style="4" customWidth="1"/>
    <col min="9982" max="9982" width="11.85546875" style="4" customWidth="1"/>
    <col min="9983" max="10227" width="8.85546875" style="4"/>
    <col min="10228" max="10228" width="2.7109375" style="4" customWidth="1"/>
    <col min="10229" max="10229" width="36.42578125" style="4" customWidth="1"/>
    <col min="10230" max="10230" width="11" style="4" customWidth="1"/>
    <col min="10231" max="10231" width="4.85546875" style="4" customWidth="1"/>
    <col min="10232" max="10232" width="12.5703125" style="4" customWidth="1"/>
    <col min="10233" max="10233" width="9.28515625" style="4" bestFit="1" customWidth="1"/>
    <col min="10234" max="10234" width="13.140625" style="4" customWidth="1"/>
    <col min="10235" max="10235" width="38.140625" style="4" customWidth="1"/>
    <col min="10236" max="10236" width="32.28515625" style="4" bestFit="1" customWidth="1"/>
    <col min="10237" max="10237" width="41" style="4" customWidth="1"/>
    <col min="10238" max="10238" width="11.85546875" style="4" customWidth="1"/>
    <col min="10239" max="10483" width="8.85546875" style="4"/>
    <col min="10484" max="10484" width="2.7109375" style="4" customWidth="1"/>
    <col min="10485" max="10485" width="36.42578125" style="4" customWidth="1"/>
    <col min="10486" max="10486" width="11" style="4" customWidth="1"/>
    <col min="10487" max="10487" width="4.85546875" style="4" customWidth="1"/>
    <col min="10488" max="10488" width="12.5703125" style="4" customWidth="1"/>
    <col min="10489" max="10489" width="9.28515625" style="4" bestFit="1" customWidth="1"/>
    <col min="10490" max="10490" width="13.140625" style="4" customWidth="1"/>
    <col min="10491" max="10491" width="38.140625" style="4" customWidth="1"/>
    <col min="10492" max="10492" width="32.28515625" style="4" bestFit="1" customWidth="1"/>
    <col min="10493" max="10493" width="41" style="4" customWidth="1"/>
    <col min="10494" max="10494" width="11.85546875" style="4" customWidth="1"/>
    <col min="10495" max="10739" width="8.85546875" style="4"/>
    <col min="10740" max="10740" width="2.7109375" style="4" customWidth="1"/>
    <col min="10741" max="10741" width="36.42578125" style="4" customWidth="1"/>
    <col min="10742" max="10742" width="11" style="4" customWidth="1"/>
    <col min="10743" max="10743" width="4.85546875" style="4" customWidth="1"/>
    <col min="10744" max="10744" width="12.5703125" style="4" customWidth="1"/>
    <col min="10745" max="10745" width="9.28515625" style="4" bestFit="1" customWidth="1"/>
    <col min="10746" max="10746" width="13.140625" style="4" customWidth="1"/>
    <col min="10747" max="10747" width="38.140625" style="4" customWidth="1"/>
    <col min="10748" max="10748" width="32.28515625" style="4" bestFit="1" customWidth="1"/>
    <col min="10749" max="10749" width="41" style="4" customWidth="1"/>
    <col min="10750" max="10750" width="11.85546875" style="4" customWidth="1"/>
    <col min="10751" max="10995" width="8.85546875" style="4"/>
    <col min="10996" max="10996" width="2.7109375" style="4" customWidth="1"/>
    <col min="10997" max="10997" width="36.42578125" style="4" customWidth="1"/>
    <col min="10998" max="10998" width="11" style="4" customWidth="1"/>
    <col min="10999" max="10999" width="4.85546875" style="4" customWidth="1"/>
    <col min="11000" max="11000" width="12.5703125" style="4" customWidth="1"/>
    <col min="11001" max="11001" width="9.28515625" style="4" bestFit="1" customWidth="1"/>
    <col min="11002" max="11002" width="13.140625" style="4" customWidth="1"/>
    <col min="11003" max="11003" width="38.140625" style="4" customWidth="1"/>
    <col min="11004" max="11004" width="32.28515625" style="4" bestFit="1" customWidth="1"/>
    <col min="11005" max="11005" width="41" style="4" customWidth="1"/>
    <col min="11006" max="11006" width="11.85546875" style="4" customWidth="1"/>
    <col min="11007" max="11251" width="8.85546875" style="4"/>
    <col min="11252" max="11252" width="2.7109375" style="4" customWidth="1"/>
    <col min="11253" max="11253" width="36.42578125" style="4" customWidth="1"/>
    <col min="11254" max="11254" width="11" style="4" customWidth="1"/>
    <col min="11255" max="11255" width="4.85546875" style="4" customWidth="1"/>
    <col min="11256" max="11256" width="12.5703125" style="4" customWidth="1"/>
    <col min="11257" max="11257" width="9.28515625" style="4" bestFit="1" customWidth="1"/>
    <col min="11258" max="11258" width="13.140625" style="4" customWidth="1"/>
    <col min="11259" max="11259" width="38.140625" style="4" customWidth="1"/>
    <col min="11260" max="11260" width="32.28515625" style="4" bestFit="1" customWidth="1"/>
    <col min="11261" max="11261" width="41" style="4" customWidth="1"/>
    <col min="11262" max="11262" width="11.85546875" style="4" customWidth="1"/>
    <col min="11263" max="11507" width="8.85546875" style="4"/>
    <col min="11508" max="11508" width="2.7109375" style="4" customWidth="1"/>
    <col min="11509" max="11509" width="36.42578125" style="4" customWidth="1"/>
    <col min="11510" max="11510" width="11" style="4" customWidth="1"/>
    <col min="11511" max="11511" width="4.85546875" style="4" customWidth="1"/>
    <col min="11512" max="11512" width="12.5703125" style="4" customWidth="1"/>
    <col min="11513" max="11513" width="9.28515625" style="4" bestFit="1" customWidth="1"/>
    <col min="11514" max="11514" width="13.140625" style="4" customWidth="1"/>
    <col min="11515" max="11515" width="38.140625" style="4" customWidth="1"/>
    <col min="11516" max="11516" width="32.28515625" style="4" bestFit="1" customWidth="1"/>
    <col min="11517" max="11517" width="41" style="4" customWidth="1"/>
    <col min="11518" max="11518" width="11.85546875" style="4" customWidth="1"/>
    <col min="11519" max="11763" width="8.85546875" style="4"/>
    <col min="11764" max="11764" width="2.7109375" style="4" customWidth="1"/>
    <col min="11765" max="11765" width="36.42578125" style="4" customWidth="1"/>
    <col min="11766" max="11766" width="11" style="4" customWidth="1"/>
    <col min="11767" max="11767" width="4.85546875" style="4" customWidth="1"/>
    <col min="11768" max="11768" width="12.5703125" style="4" customWidth="1"/>
    <col min="11769" max="11769" width="9.28515625" style="4" bestFit="1" customWidth="1"/>
    <col min="11770" max="11770" width="13.140625" style="4" customWidth="1"/>
    <col min="11771" max="11771" width="38.140625" style="4" customWidth="1"/>
    <col min="11772" max="11772" width="32.28515625" style="4" bestFit="1" customWidth="1"/>
    <col min="11773" max="11773" width="41" style="4" customWidth="1"/>
    <col min="11774" max="11774" width="11.85546875" style="4" customWidth="1"/>
    <col min="11775" max="12019" width="8.85546875" style="4"/>
    <col min="12020" max="12020" width="2.7109375" style="4" customWidth="1"/>
    <col min="12021" max="12021" width="36.42578125" style="4" customWidth="1"/>
    <col min="12022" max="12022" width="11" style="4" customWidth="1"/>
    <col min="12023" max="12023" width="4.85546875" style="4" customWidth="1"/>
    <col min="12024" max="12024" width="12.5703125" style="4" customWidth="1"/>
    <col min="12025" max="12025" width="9.28515625" style="4" bestFit="1" customWidth="1"/>
    <col min="12026" max="12026" width="13.140625" style="4" customWidth="1"/>
    <col min="12027" max="12027" width="38.140625" style="4" customWidth="1"/>
    <col min="12028" max="12028" width="32.28515625" style="4" bestFit="1" customWidth="1"/>
    <col min="12029" max="12029" width="41" style="4" customWidth="1"/>
    <col min="12030" max="12030" width="11.85546875" style="4" customWidth="1"/>
    <col min="12031" max="12275" width="8.85546875" style="4"/>
    <col min="12276" max="12276" width="2.7109375" style="4" customWidth="1"/>
    <col min="12277" max="12277" width="36.42578125" style="4" customWidth="1"/>
    <col min="12278" max="12278" width="11" style="4" customWidth="1"/>
    <col min="12279" max="12279" width="4.85546875" style="4" customWidth="1"/>
    <col min="12280" max="12280" width="12.5703125" style="4" customWidth="1"/>
    <col min="12281" max="12281" width="9.28515625" style="4" bestFit="1" customWidth="1"/>
    <col min="12282" max="12282" width="13.140625" style="4" customWidth="1"/>
    <col min="12283" max="12283" width="38.140625" style="4" customWidth="1"/>
    <col min="12284" max="12284" width="32.28515625" style="4" bestFit="1" customWidth="1"/>
    <col min="12285" max="12285" width="41" style="4" customWidth="1"/>
    <col min="12286" max="12286" width="11.85546875" style="4" customWidth="1"/>
    <col min="12287" max="12531" width="8.85546875" style="4"/>
    <col min="12532" max="12532" width="2.7109375" style="4" customWidth="1"/>
    <col min="12533" max="12533" width="36.42578125" style="4" customWidth="1"/>
    <col min="12534" max="12534" width="11" style="4" customWidth="1"/>
    <col min="12535" max="12535" width="4.85546875" style="4" customWidth="1"/>
    <col min="12536" max="12536" width="12.5703125" style="4" customWidth="1"/>
    <col min="12537" max="12537" width="9.28515625" style="4" bestFit="1" customWidth="1"/>
    <col min="12538" max="12538" width="13.140625" style="4" customWidth="1"/>
    <col min="12539" max="12539" width="38.140625" style="4" customWidth="1"/>
    <col min="12540" max="12540" width="32.28515625" style="4" bestFit="1" customWidth="1"/>
    <col min="12541" max="12541" width="41" style="4" customWidth="1"/>
    <col min="12542" max="12542" width="11.85546875" style="4" customWidth="1"/>
    <col min="12543" max="12787" width="8.85546875" style="4"/>
    <col min="12788" max="12788" width="2.7109375" style="4" customWidth="1"/>
    <col min="12789" max="12789" width="36.42578125" style="4" customWidth="1"/>
    <col min="12790" max="12790" width="11" style="4" customWidth="1"/>
    <col min="12791" max="12791" width="4.85546875" style="4" customWidth="1"/>
    <col min="12792" max="12792" width="12.5703125" style="4" customWidth="1"/>
    <col min="12793" max="12793" width="9.28515625" style="4" bestFit="1" customWidth="1"/>
    <col min="12794" max="12794" width="13.140625" style="4" customWidth="1"/>
    <col min="12795" max="12795" width="38.140625" style="4" customWidth="1"/>
    <col min="12796" max="12796" width="32.28515625" style="4" bestFit="1" customWidth="1"/>
    <col min="12797" max="12797" width="41" style="4" customWidth="1"/>
    <col min="12798" max="12798" width="11.85546875" style="4" customWidth="1"/>
    <col min="12799" max="13043" width="8.85546875" style="4"/>
    <col min="13044" max="13044" width="2.7109375" style="4" customWidth="1"/>
    <col min="13045" max="13045" width="36.42578125" style="4" customWidth="1"/>
    <col min="13046" max="13046" width="11" style="4" customWidth="1"/>
    <col min="13047" max="13047" width="4.85546875" style="4" customWidth="1"/>
    <col min="13048" max="13048" width="12.5703125" style="4" customWidth="1"/>
    <col min="13049" max="13049" width="9.28515625" style="4" bestFit="1" customWidth="1"/>
    <col min="13050" max="13050" width="13.140625" style="4" customWidth="1"/>
    <col min="13051" max="13051" width="38.140625" style="4" customWidth="1"/>
    <col min="13052" max="13052" width="32.28515625" style="4" bestFit="1" customWidth="1"/>
    <col min="13053" max="13053" width="41" style="4" customWidth="1"/>
    <col min="13054" max="13054" width="11.85546875" style="4" customWidth="1"/>
    <col min="13055" max="13299" width="8.85546875" style="4"/>
    <col min="13300" max="13300" width="2.7109375" style="4" customWidth="1"/>
    <col min="13301" max="13301" width="36.42578125" style="4" customWidth="1"/>
    <col min="13302" max="13302" width="11" style="4" customWidth="1"/>
    <col min="13303" max="13303" width="4.85546875" style="4" customWidth="1"/>
    <col min="13304" max="13304" width="12.5703125" style="4" customWidth="1"/>
    <col min="13305" max="13305" width="9.28515625" style="4" bestFit="1" customWidth="1"/>
    <col min="13306" max="13306" width="13.140625" style="4" customWidth="1"/>
    <col min="13307" max="13307" width="38.140625" style="4" customWidth="1"/>
    <col min="13308" max="13308" width="32.28515625" style="4" bestFit="1" customWidth="1"/>
    <col min="13309" max="13309" width="41" style="4" customWidth="1"/>
    <col min="13310" max="13310" width="11.85546875" style="4" customWidth="1"/>
    <col min="13311" max="13555" width="8.85546875" style="4"/>
    <col min="13556" max="13556" width="2.7109375" style="4" customWidth="1"/>
    <col min="13557" max="13557" width="36.42578125" style="4" customWidth="1"/>
    <col min="13558" max="13558" width="11" style="4" customWidth="1"/>
    <col min="13559" max="13559" width="4.85546875" style="4" customWidth="1"/>
    <col min="13560" max="13560" width="12.5703125" style="4" customWidth="1"/>
    <col min="13561" max="13561" width="9.28515625" style="4" bestFit="1" customWidth="1"/>
    <col min="13562" max="13562" width="13.140625" style="4" customWidth="1"/>
    <col min="13563" max="13563" width="38.140625" style="4" customWidth="1"/>
    <col min="13564" max="13564" width="32.28515625" style="4" bestFit="1" customWidth="1"/>
    <col min="13565" max="13565" width="41" style="4" customWidth="1"/>
    <col min="13566" max="13566" width="11.85546875" style="4" customWidth="1"/>
    <col min="13567" max="13811" width="8.85546875" style="4"/>
    <col min="13812" max="13812" width="2.7109375" style="4" customWidth="1"/>
    <col min="13813" max="13813" width="36.42578125" style="4" customWidth="1"/>
    <col min="13814" max="13814" width="11" style="4" customWidth="1"/>
    <col min="13815" max="13815" width="4.85546875" style="4" customWidth="1"/>
    <col min="13816" max="13816" width="12.5703125" style="4" customWidth="1"/>
    <col min="13817" max="13817" width="9.28515625" style="4" bestFit="1" customWidth="1"/>
    <col min="13818" max="13818" width="13.140625" style="4" customWidth="1"/>
    <col min="13819" max="13819" width="38.140625" style="4" customWidth="1"/>
    <col min="13820" max="13820" width="32.28515625" style="4" bestFit="1" customWidth="1"/>
    <col min="13821" max="13821" width="41" style="4" customWidth="1"/>
    <col min="13822" max="13822" width="11.85546875" style="4" customWidth="1"/>
    <col min="13823" max="14067" width="8.85546875" style="4"/>
    <col min="14068" max="14068" width="2.7109375" style="4" customWidth="1"/>
    <col min="14069" max="14069" width="36.42578125" style="4" customWidth="1"/>
    <col min="14070" max="14070" width="11" style="4" customWidth="1"/>
    <col min="14071" max="14071" width="4.85546875" style="4" customWidth="1"/>
    <col min="14072" max="14072" width="12.5703125" style="4" customWidth="1"/>
    <col min="14073" max="14073" width="9.28515625" style="4" bestFit="1" customWidth="1"/>
    <col min="14074" max="14074" width="13.140625" style="4" customWidth="1"/>
    <col min="14075" max="14075" width="38.140625" style="4" customWidth="1"/>
    <col min="14076" max="14076" width="32.28515625" style="4" bestFit="1" customWidth="1"/>
    <col min="14077" max="14077" width="41" style="4" customWidth="1"/>
    <col min="14078" max="14078" width="11.85546875" style="4" customWidth="1"/>
    <col min="14079" max="14323" width="8.85546875" style="4"/>
    <col min="14324" max="14324" width="2.7109375" style="4" customWidth="1"/>
    <col min="14325" max="14325" width="36.42578125" style="4" customWidth="1"/>
    <col min="14326" max="14326" width="11" style="4" customWidth="1"/>
    <col min="14327" max="14327" width="4.85546875" style="4" customWidth="1"/>
    <col min="14328" max="14328" width="12.5703125" style="4" customWidth="1"/>
    <col min="14329" max="14329" width="9.28515625" style="4" bestFit="1" customWidth="1"/>
    <col min="14330" max="14330" width="13.140625" style="4" customWidth="1"/>
    <col min="14331" max="14331" width="38.140625" style="4" customWidth="1"/>
    <col min="14332" max="14332" width="32.28515625" style="4" bestFit="1" customWidth="1"/>
    <col min="14333" max="14333" width="41" style="4" customWidth="1"/>
    <col min="14334" max="14334" width="11.85546875" style="4" customWidth="1"/>
    <col min="14335" max="14579" width="8.85546875" style="4"/>
    <col min="14580" max="14580" width="2.7109375" style="4" customWidth="1"/>
    <col min="14581" max="14581" width="36.42578125" style="4" customWidth="1"/>
    <col min="14582" max="14582" width="11" style="4" customWidth="1"/>
    <col min="14583" max="14583" width="4.85546875" style="4" customWidth="1"/>
    <col min="14584" max="14584" width="12.5703125" style="4" customWidth="1"/>
    <col min="14585" max="14585" width="9.28515625" style="4" bestFit="1" customWidth="1"/>
    <col min="14586" max="14586" width="13.140625" style="4" customWidth="1"/>
    <col min="14587" max="14587" width="38.140625" style="4" customWidth="1"/>
    <col min="14588" max="14588" width="32.28515625" style="4" bestFit="1" customWidth="1"/>
    <col min="14589" max="14589" width="41" style="4" customWidth="1"/>
    <col min="14590" max="14590" width="11.85546875" style="4" customWidth="1"/>
    <col min="14591" max="14835" width="8.85546875" style="4"/>
    <col min="14836" max="14836" width="2.7109375" style="4" customWidth="1"/>
    <col min="14837" max="14837" width="36.42578125" style="4" customWidth="1"/>
    <col min="14838" max="14838" width="11" style="4" customWidth="1"/>
    <col min="14839" max="14839" width="4.85546875" style="4" customWidth="1"/>
    <col min="14840" max="14840" width="12.5703125" style="4" customWidth="1"/>
    <col min="14841" max="14841" width="9.28515625" style="4" bestFit="1" customWidth="1"/>
    <col min="14842" max="14842" width="13.140625" style="4" customWidth="1"/>
    <col min="14843" max="14843" width="38.140625" style="4" customWidth="1"/>
    <col min="14844" max="14844" width="32.28515625" style="4" bestFit="1" customWidth="1"/>
    <col min="14845" max="14845" width="41" style="4" customWidth="1"/>
    <col min="14846" max="14846" width="11.85546875" style="4" customWidth="1"/>
    <col min="14847" max="15091" width="8.85546875" style="4"/>
    <col min="15092" max="15092" width="2.7109375" style="4" customWidth="1"/>
    <col min="15093" max="15093" width="36.42578125" style="4" customWidth="1"/>
    <col min="15094" max="15094" width="11" style="4" customWidth="1"/>
    <col min="15095" max="15095" width="4.85546875" style="4" customWidth="1"/>
    <col min="15096" max="15096" width="12.5703125" style="4" customWidth="1"/>
    <col min="15097" max="15097" width="9.28515625" style="4" bestFit="1" customWidth="1"/>
    <col min="15098" max="15098" width="13.140625" style="4" customWidth="1"/>
    <col min="15099" max="15099" width="38.140625" style="4" customWidth="1"/>
    <col min="15100" max="15100" width="32.28515625" style="4" bestFit="1" customWidth="1"/>
    <col min="15101" max="15101" width="41" style="4" customWidth="1"/>
    <col min="15102" max="15102" width="11.85546875" style="4" customWidth="1"/>
    <col min="15103" max="15347" width="8.85546875" style="4"/>
    <col min="15348" max="15348" width="2.7109375" style="4" customWidth="1"/>
    <col min="15349" max="15349" width="36.42578125" style="4" customWidth="1"/>
    <col min="15350" max="15350" width="11" style="4" customWidth="1"/>
    <col min="15351" max="15351" width="4.85546875" style="4" customWidth="1"/>
    <col min="15352" max="15352" width="12.5703125" style="4" customWidth="1"/>
    <col min="15353" max="15353" width="9.28515625" style="4" bestFit="1" customWidth="1"/>
    <col min="15354" max="15354" width="13.140625" style="4" customWidth="1"/>
    <col min="15355" max="15355" width="38.140625" style="4" customWidth="1"/>
    <col min="15356" max="15356" width="32.28515625" style="4" bestFit="1" customWidth="1"/>
    <col min="15357" max="15357" width="41" style="4" customWidth="1"/>
    <col min="15358" max="15358" width="11.85546875" style="4" customWidth="1"/>
    <col min="15359" max="15603" width="8.85546875" style="4"/>
    <col min="15604" max="15604" width="2.7109375" style="4" customWidth="1"/>
    <col min="15605" max="15605" width="36.42578125" style="4" customWidth="1"/>
    <col min="15606" max="15606" width="11" style="4" customWidth="1"/>
    <col min="15607" max="15607" width="4.85546875" style="4" customWidth="1"/>
    <col min="15608" max="15608" width="12.5703125" style="4" customWidth="1"/>
    <col min="15609" max="15609" width="9.28515625" style="4" bestFit="1" customWidth="1"/>
    <col min="15610" max="15610" width="13.140625" style="4" customWidth="1"/>
    <col min="15611" max="15611" width="38.140625" style="4" customWidth="1"/>
    <col min="15612" max="15612" width="32.28515625" style="4" bestFit="1" customWidth="1"/>
    <col min="15613" max="15613" width="41" style="4" customWidth="1"/>
    <col min="15614" max="15614" width="11.85546875" style="4" customWidth="1"/>
    <col min="15615" max="15859" width="8.85546875" style="4"/>
    <col min="15860" max="15860" width="2.7109375" style="4" customWidth="1"/>
    <col min="15861" max="15861" width="36.42578125" style="4" customWidth="1"/>
    <col min="15862" max="15862" width="11" style="4" customWidth="1"/>
    <col min="15863" max="15863" width="4.85546875" style="4" customWidth="1"/>
    <col min="15864" max="15864" width="12.5703125" style="4" customWidth="1"/>
    <col min="15865" max="15865" width="9.28515625" style="4" bestFit="1" customWidth="1"/>
    <col min="15866" max="15866" width="13.140625" style="4" customWidth="1"/>
    <col min="15867" max="15867" width="38.140625" style="4" customWidth="1"/>
    <col min="15868" max="15868" width="32.28515625" style="4" bestFit="1" customWidth="1"/>
    <col min="15869" max="15869" width="41" style="4" customWidth="1"/>
    <col min="15870" max="15870" width="11.85546875" style="4" customWidth="1"/>
    <col min="15871" max="16115" width="8.85546875" style="4"/>
    <col min="16116" max="16116" width="2.7109375" style="4" customWidth="1"/>
    <col min="16117" max="16117" width="36.42578125" style="4" customWidth="1"/>
    <col min="16118" max="16118" width="11" style="4" customWidth="1"/>
    <col min="16119" max="16119" width="4.85546875" style="4" customWidth="1"/>
    <col min="16120" max="16120" width="12.5703125" style="4" customWidth="1"/>
    <col min="16121" max="16121" width="9.28515625" style="4" bestFit="1" customWidth="1"/>
    <col min="16122" max="16122" width="13.140625" style="4" customWidth="1"/>
    <col min="16123" max="16123" width="38.140625" style="4" customWidth="1"/>
    <col min="16124" max="16124" width="32.28515625" style="4" bestFit="1" customWidth="1"/>
    <col min="16125" max="16125" width="41" style="4" customWidth="1"/>
    <col min="16126" max="16126" width="11.85546875" style="4" customWidth="1"/>
    <col min="16127" max="16384" width="8.85546875" style="4"/>
  </cols>
  <sheetData>
    <row r="1" spans="1:37" s="8" customFormat="1" ht="57" x14ac:dyDescent="0.25">
      <c r="A1" s="9" t="s">
        <v>86</v>
      </c>
      <c r="B1" s="20" t="s">
        <v>199</v>
      </c>
      <c r="C1" s="20" t="s">
        <v>200</v>
      </c>
      <c r="D1" s="35" t="s">
        <v>214</v>
      </c>
      <c r="E1" s="35" t="s">
        <v>234</v>
      </c>
      <c r="F1" s="36" t="s">
        <v>215</v>
      </c>
      <c r="G1" s="36" t="s">
        <v>216</v>
      </c>
      <c r="H1" s="21" t="s">
        <v>235</v>
      </c>
      <c r="I1" s="71" t="s">
        <v>305</v>
      </c>
      <c r="J1" s="71" t="s">
        <v>306</v>
      </c>
      <c r="K1" s="7" t="s">
        <v>204</v>
      </c>
    </row>
    <row r="2" spans="1:37" s="3" customFormat="1" ht="14.25" x14ac:dyDescent="0.25">
      <c r="A2" s="15" t="s">
        <v>59</v>
      </c>
      <c r="B2" s="13"/>
      <c r="C2" s="13"/>
      <c r="D2" s="29"/>
      <c r="E2" s="29"/>
      <c r="F2" s="29"/>
      <c r="G2" s="29"/>
      <c r="H2" s="13"/>
      <c r="I2" s="29"/>
      <c r="J2" s="29"/>
      <c r="K2" s="11"/>
    </row>
    <row r="3" spans="1:37" s="3" customFormat="1" ht="14.25" hidden="1" x14ac:dyDescent="0.25">
      <c r="A3" s="16" t="s">
        <v>12</v>
      </c>
      <c r="B3" s="13" t="s">
        <v>13</v>
      </c>
      <c r="C3" s="22" t="s">
        <v>87</v>
      </c>
      <c r="D3" s="39" t="s">
        <v>87</v>
      </c>
      <c r="E3" s="37" t="s">
        <v>87</v>
      </c>
      <c r="F3" s="37" t="s">
        <v>87</v>
      </c>
      <c r="G3" s="39" t="s">
        <v>87</v>
      </c>
      <c r="H3" s="25" t="s">
        <v>87</v>
      </c>
      <c r="I3" s="43" t="s">
        <v>87</v>
      </c>
      <c r="J3" s="43" t="s">
        <v>87</v>
      </c>
      <c r="K3" s="74" t="s">
        <v>206</v>
      </c>
    </row>
    <row r="4" spans="1:37" s="3" customFormat="1" ht="14.25" hidden="1" x14ac:dyDescent="0.25">
      <c r="A4" s="16" t="s">
        <v>88</v>
      </c>
      <c r="B4" s="13" t="s">
        <v>89</v>
      </c>
      <c r="C4" s="22" t="s">
        <v>11</v>
      </c>
      <c r="D4" s="39" t="s">
        <v>11</v>
      </c>
      <c r="E4" s="37" t="s">
        <v>11</v>
      </c>
      <c r="F4" s="37" t="s">
        <v>11</v>
      </c>
      <c r="G4" s="39" t="s">
        <v>11</v>
      </c>
      <c r="H4" s="25" t="s">
        <v>11</v>
      </c>
      <c r="I4" s="43" t="s">
        <v>11</v>
      </c>
      <c r="J4" s="43" t="s">
        <v>250</v>
      </c>
      <c r="K4" s="75"/>
    </row>
    <row r="5" spans="1:37" s="3" customFormat="1" ht="57" hidden="1" x14ac:dyDescent="0.25">
      <c r="A5" s="16" t="s">
        <v>90</v>
      </c>
      <c r="B5" s="13" t="s">
        <v>11</v>
      </c>
      <c r="C5" s="22" t="s">
        <v>183</v>
      </c>
      <c r="D5" s="39" t="s">
        <v>183</v>
      </c>
      <c r="E5" s="37" t="s">
        <v>183</v>
      </c>
      <c r="F5" s="37" t="s">
        <v>183</v>
      </c>
      <c r="G5" s="39" t="s">
        <v>183</v>
      </c>
      <c r="H5" s="25" t="s">
        <v>183</v>
      </c>
      <c r="I5" s="43" t="s">
        <v>243</v>
      </c>
      <c r="J5" s="43" t="s">
        <v>249</v>
      </c>
      <c r="K5" s="23" t="s">
        <v>220</v>
      </c>
    </row>
    <row r="6" spans="1:37" s="3" customFormat="1" ht="14.25" hidden="1" x14ac:dyDescent="0.25">
      <c r="A6" s="16" t="s">
        <v>14</v>
      </c>
      <c r="B6" s="13" t="s">
        <v>15</v>
      </c>
      <c r="C6" s="22" t="s">
        <v>195</v>
      </c>
      <c r="D6" s="39" t="s">
        <v>195</v>
      </c>
      <c r="E6" s="37" t="s">
        <v>195</v>
      </c>
      <c r="F6" s="37" t="s">
        <v>195</v>
      </c>
      <c r="G6" s="39" t="s">
        <v>195</v>
      </c>
      <c r="H6" s="25" t="s">
        <v>195</v>
      </c>
      <c r="I6" s="43" t="s">
        <v>195</v>
      </c>
      <c r="J6" s="43" t="s">
        <v>195</v>
      </c>
      <c r="K6" s="23"/>
    </row>
    <row r="7" spans="1:37" s="3" customFormat="1" ht="14.25" hidden="1" x14ac:dyDescent="0.25">
      <c r="A7" s="16" t="s">
        <v>16</v>
      </c>
      <c r="B7" s="13" t="s">
        <v>15</v>
      </c>
      <c r="C7" s="22" t="s">
        <v>195</v>
      </c>
      <c r="D7" s="39" t="s">
        <v>195</v>
      </c>
      <c r="E7" s="37" t="s">
        <v>195</v>
      </c>
      <c r="F7" s="37" t="s">
        <v>195</v>
      </c>
      <c r="G7" s="39" t="s">
        <v>195</v>
      </c>
      <c r="H7" s="25" t="s">
        <v>195</v>
      </c>
      <c r="I7" s="43" t="s">
        <v>195</v>
      </c>
      <c r="J7" s="43" t="s">
        <v>195</v>
      </c>
      <c r="K7" s="23"/>
    </row>
    <row r="8" spans="1:37" s="3" customFormat="1" ht="14.25" hidden="1" x14ac:dyDescent="0.25">
      <c r="A8" s="15" t="s">
        <v>36</v>
      </c>
      <c r="B8" s="13"/>
      <c r="C8" s="13"/>
      <c r="D8" s="29"/>
      <c r="E8" s="29"/>
      <c r="F8" s="29"/>
      <c r="G8" s="29"/>
      <c r="H8" s="13"/>
      <c r="I8" s="29"/>
      <c r="J8" s="29"/>
      <c r="K8" s="23"/>
    </row>
    <row r="9" spans="1:37" s="3" customFormat="1" ht="14.25" hidden="1" x14ac:dyDescent="0.25">
      <c r="A9" s="16" t="s">
        <v>17</v>
      </c>
      <c r="B9" s="13" t="s">
        <v>18</v>
      </c>
      <c r="C9" s="13" t="s">
        <v>18</v>
      </c>
      <c r="D9" s="29" t="s">
        <v>18</v>
      </c>
      <c r="E9" s="29" t="s">
        <v>18</v>
      </c>
      <c r="F9" s="29" t="s">
        <v>18</v>
      </c>
      <c r="G9" s="29" t="s">
        <v>18</v>
      </c>
      <c r="H9" s="13" t="s">
        <v>18</v>
      </c>
      <c r="I9" s="29" t="s">
        <v>18</v>
      </c>
      <c r="J9" s="29" t="s">
        <v>18</v>
      </c>
      <c r="K9" s="23"/>
    </row>
    <row r="10" spans="1:37" ht="14.25" hidden="1" x14ac:dyDescent="0.25">
      <c r="A10" s="17" t="s">
        <v>22</v>
      </c>
      <c r="B10" s="13" t="s">
        <v>91</v>
      </c>
      <c r="C10" s="13" t="s">
        <v>91</v>
      </c>
      <c r="D10" s="29" t="s">
        <v>91</v>
      </c>
      <c r="E10" s="29" t="s">
        <v>91</v>
      </c>
      <c r="F10" s="29" t="s">
        <v>91</v>
      </c>
      <c r="G10" s="29" t="s">
        <v>91</v>
      </c>
      <c r="H10" s="13" t="s">
        <v>91</v>
      </c>
      <c r="I10" s="29" t="s">
        <v>91</v>
      </c>
      <c r="J10" s="29" t="s">
        <v>91</v>
      </c>
      <c r="K10" s="2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51" customHeight="1" x14ac:dyDescent="0.25">
      <c r="A11" s="68" t="s">
        <v>315</v>
      </c>
      <c r="B11" s="29" t="s">
        <v>21</v>
      </c>
      <c r="C11" s="29" t="s">
        <v>21</v>
      </c>
      <c r="D11" s="29" t="s">
        <v>21</v>
      </c>
      <c r="E11" s="29" t="s">
        <v>21</v>
      </c>
      <c r="F11" s="29" t="s">
        <v>21</v>
      </c>
      <c r="G11" s="29" t="s">
        <v>21</v>
      </c>
      <c r="H11" s="29" t="s">
        <v>21</v>
      </c>
      <c r="I11" s="29" t="s">
        <v>61</v>
      </c>
      <c r="J11" s="29" t="s">
        <v>61</v>
      </c>
      <c r="K11" s="65" t="s">
        <v>351</v>
      </c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x14ac:dyDescent="0.25">
      <c r="A12" s="68" t="s">
        <v>37</v>
      </c>
      <c r="B12" s="29" t="s">
        <v>92</v>
      </c>
      <c r="C12" s="29" t="s">
        <v>92</v>
      </c>
      <c r="D12" s="29" t="s">
        <v>92</v>
      </c>
      <c r="E12" s="29" t="s">
        <v>92</v>
      </c>
      <c r="F12" s="29" t="s">
        <v>92</v>
      </c>
      <c r="G12" s="29" t="s">
        <v>92</v>
      </c>
      <c r="H12" s="29" t="s">
        <v>92</v>
      </c>
      <c r="I12" s="29" t="s">
        <v>92</v>
      </c>
      <c r="J12" s="29" t="s">
        <v>92</v>
      </c>
      <c r="K12" s="65" t="s">
        <v>350</v>
      </c>
    </row>
    <row r="13" spans="1:37" ht="28.5" hidden="1" x14ac:dyDescent="0.25">
      <c r="A13" s="68" t="s">
        <v>60</v>
      </c>
      <c r="B13" s="29" t="s">
        <v>61</v>
      </c>
      <c r="C13" s="29" t="s">
        <v>61</v>
      </c>
      <c r="D13" s="29" t="s">
        <v>61</v>
      </c>
      <c r="E13" s="29" t="s">
        <v>61</v>
      </c>
      <c r="F13" s="29" t="s">
        <v>205</v>
      </c>
      <c r="G13" s="29" t="s">
        <v>205</v>
      </c>
      <c r="H13" s="29" t="s">
        <v>205</v>
      </c>
      <c r="I13" s="29" t="s">
        <v>205</v>
      </c>
      <c r="J13" s="29" t="s">
        <v>205</v>
      </c>
      <c r="K13" s="76" t="s">
        <v>207</v>
      </c>
    </row>
    <row r="14" spans="1:37" ht="33" hidden="1" customHeight="1" x14ac:dyDescent="0.25">
      <c r="A14" s="68" t="s">
        <v>62</v>
      </c>
      <c r="B14" s="29" t="s">
        <v>63</v>
      </c>
      <c r="C14" s="29" t="s">
        <v>63</v>
      </c>
      <c r="D14" s="29" t="s">
        <v>63</v>
      </c>
      <c r="E14" s="29" t="s">
        <v>63</v>
      </c>
      <c r="F14" s="29" t="s">
        <v>63</v>
      </c>
      <c r="G14" s="29" t="s">
        <v>63</v>
      </c>
      <c r="H14" s="29" t="s">
        <v>63</v>
      </c>
      <c r="I14" s="29" t="s">
        <v>63</v>
      </c>
      <c r="J14" s="29" t="s">
        <v>63</v>
      </c>
      <c r="K14" s="77"/>
    </row>
    <row r="15" spans="1:37" ht="28.5" hidden="1" x14ac:dyDescent="0.25">
      <c r="A15" s="68" t="s">
        <v>38</v>
      </c>
      <c r="B15" s="29" t="s">
        <v>39</v>
      </c>
      <c r="C15" s="29" t="s">
        <v>186</v>
      </c>
      <c r="D15" s="29" t="s">
        <v>186</v>
      </c>
      <c r="E15" s="29" t="s">
        <v>186</v>
      </c>
      <c r="F15" s="29" t="s">
        <v>186</v>
      </c>
      <c r="G15" s="29" t="s">
        <v>186</v>
      </c>
      <c r="H15" s="29" t="s">
        <v>186</v>
      </c>
      <c r="I15" s="29" t="s">
        <v>186</v>
      </c>
      <c r="J15" s="29" t="s">
        <v>244</v>
      </c>
      <c r="K15" s="65"/>
    </row>
    <row r="16" spans="1:37" ht="28.5" hidden="1" x14ac:dyDescent="0.25">
      <c r="A16" s="68" t="s">
        <v>40</v>
      </c>
      <c r="B16" s="29" t="s">
        <v>41</v>
      </c>
      <c r="C16" s="29" t="s">
        <v>187</v>
      </c>
      <c r="D16" s="29" t="s">
        <v>187</v>
      </c>
      <c r="E16" s="29" t="s">
        <v>187</v>
      </c>
      <c r="F16" s="29" t="s">
        <v>187</v>
      </c>
      <c r="G16" s="29" t="s">
        <v>187</v>
      </c>
      <c r="H16" s="29" t="s">
        <v>187</v>
      </c>
      <c r="I16" s="29" t="s">
        <v>187</v>
      </c>
      <c r="J16" s="29" t="s">
        <v>245</v>
      </c>
      <c r="K16" s="65"/>
    </row>
    <row r="17" spans="1:37" ht="28.5" hidden="1" x14ac:dyDescent="0.25">
      <c r="A17" s="68" t="s">
        <v>64</v>
      </c>
      <c r="B17" s="29" t="s">
        <v>65</v>
      </c>
      <c r="C17" s="29" t="s">
        <v>188</v>
      </c>
      <c r="D17" s="29" t="s">
        <v>188</v>
      </c>
      <c r="E17" s="29" t="s">
        <v>188</v>
      </c>
      <c r="F17" s="29" t="s">
        <v>188</v>
      </c>
      <c r="G17" s="29" t="s">
        <v>188</v>
      </c>
      <c r="H17" s="29" t="s">
        <v>188</v>
      </c>
      <c r="I17" s="29" t="s">
        <v>188</v>
      </c>
      <c r="J17" s="29" t="s">
        <v>188</v>
      </c>
      <c r="K17" s="65"/>
    </row>
    <row r="18" spans="1:37" ht="28.5" hidden="1" x14ac:dyDescent="0.25">
      <c r="A18" s="68" t="s">
        <v>66</v>
      </c>
      <c r="B18" s="29" t="s">
        <v>67</v>
      </c>
      <c r="C18" s="29" t="s">
        <v>185</v>
      </c>
      <c r="D18" s="29" t="s">
        <v>185</v>
      </c>
      <c r="E18" s="29" t="s">
        <v>185</v>
      </c>
      <c r="F18" s="29" t="s">
        <v>185</v>
      </c>
      <c r="G18" s="29" t="s">
        <v>185</v>
      </c>
      <c r="H18" s="29" t="s">
        <v>185</v>
      </c>
      <c r="I18" s="29" t="s">
        <v>185</v>
      </c>
      <c r="J18" s="29" t="s">
        <v>185</v>
      </c>
      <c r="K18" s="6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 ht="28.5" hidden="1" x14ac:dyDescent="0.25">
      <c r="A19" s="68" t="s">
        <v>42</v>
      </c>
      <c r="B19" s="29" t="s">
        <v>43</v>
      </c>
      <c r="C19" s="29">
        <v>8448</v>
      </c>
      <c r="D19" s="29">
        <v>8448</v>
      </c>
      <c r="E19" s="29">
        <v>8448</v>
      </c>
      <c r="F19" s="29">
        <v>8448</v>
      </c>
      <c r="G19" s="29">
        <v>8448</v>
      </c>
      <c r="H19" s="29">
        <v>8448</v>
      </c>
      <c r="I19" s="29">
        <v>8448</v>
      </c>
      <c r="J19" s="29" t="s">
        <v>246</v>
      </c>
      <c r="K19" s="6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51" hidden="1" customHeight="1" x14ac:dyDescent="0.25">
      <c r="A20" s="68" t="s">
        <v>44</v>
      </c>
      <c r="B20" s="29" t="s">
        <v>93</v>
      </c>
      <c r="C20" s="29" t="s">
        <v>189</v>
      </c>
      <c r="D20" s="29" t="s">
        <v>189</v>
      </c>
      <c r="E20" s="29" t="s">
        <v>189</v>
      </c>
      <c r="F20" s="29" t="s">
        <v>189</v>
      </c>
      <c r="G20" s="29" t="s">
        <v>189</v>
      </c>
      <c r="H20" s="29" t="s">
        <v>189</v>
      </c>
      <c r="I20" s="29" t="s">
        <v>189</v>
      </c>
      <c r="J20" s="29" t="s">
        <v>189</v>
      </c>
      <c r="K20" s="6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 ht="45.75" hidden="1" customHeight="1" x14ac:dyDescent="0.25">
      <c r="A21" s="68" t="s">
        <v>83</v>
      </c>
      <c r="B21" s="29" t="s">
        <v>68</v>
      </c>
      <c r="C21" s="29" t="s">
        <v>190</v>
      </c>
      <c r="D21" s="29" t="s">
        <v>190</v>
      </c>
      <c r="E21" s="29" t="s">
        <v>190</v>
      </c>
      <c r="F21" s="29" t="s">
        <v>190</v>
      </c>
      <c r="G21" s="29" t="s">
        <v>190</v>
      </c>
      <c r="H21" s="29" t="s">
        <v>190</v>
      </c>
      <c r="I21" s="29" t="s">
        <v>190</v>
      </c>
      <c r="J21" s="29" t="s">
        <v>247</v>
      </c>
      <c r="K21" s="6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ht="14.25" hidden="1" x14ac:dyDescent="0.25">
      <c r="A22" s="68" t="s">
        <v>94</v>
      </c>
      <c r="B22" s="29" t="s">
        <v>69</v>
      </c>
      <c r="C22" s="29" t="s">
        <v>69</v>
      </c>
      <c r="D22" s="29" t="s">
        <v>69</v>
      </c>
      <c r="E22" s="29" t="s">
        <v>69</v>
      </c>
      <c r="F22" s="29" t="s">
        <v>69</v>
      </c>
      <c r="G22" s="29" t="s">
        <v>69</v>
      </c>
      <c r="H22" s="29" t="s">
        <v>69</v>
      </c>
      <c r="I22" s="29" t="s">
        <v>69</v>
      </c>
      <c r="J22" s="29" t="s">
        <v>69</v>
      </c>
      <c r="K22" s="65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14.25" hidden="1" x14ac:dyDescent="0.25">
      <c r="A23" s="69" t="s">
        <v>95</v>
      </c>
      <c r="B23" s="29"/>
      <c r="C23" s="29"/>
      <c r="D23" s="29"/>
      <c r="E23" s="29"/>
      <c r="F23" s="29"/>
      <c r="G23" s="29"/>
      <c r="H23" s="29"/>
      <c r="I23" s="29"/>
      <c r="J23" s="29"/>
      <c r="K23" s="65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ht="14.25" hidden="1" x14ac:dyDescent="0.25">
      <c r="A24" s="70" t="s">
        <v>96</v>
      </c>
      <c r="B24" s="29" t="s">
        <v>97</v>
      </c>
      <c r="C24" s="29" t="s">
        <v>97</v>
      </c>
      <c r="D24" s="29" t="s">
        <v>97</v>
      </c>
      <c r="E24" s="29" t="s">
        <v>97</v>
      </c>
      <c r="F24" s="29" t="s">
        <v>97</v>
      </c>
      <c r="G24" s="29" t="s">
        <v>97</v>
      </c>
      <c r="H24" s="29" t="s">
        <v>97</v>
      </c>
      <c r="I24" s="29" t="s">
        <v>248</v>
      </c>
      <c r="J24" s="29" t="s">
        <v>248</v>
      </c>
      <c r="K24" s="65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 ht="14.25" hidden="1" x14ac:dyDescent="0.25">
      <c r="A25" s="68" t="s">
        <v>98</v>
      </c>
      <c r="B25" s="29" t="s">
        <v>99</v>
      </c>
      <c r="C25" s="29" t="s">
        <v>99</v>
      </c>
      <c r="D25" s="29" t="s">
        <v>99</v>
      </c>
      <c r="E25" s="29" t="s">
        <v>99</v>
      </c>
      <c r="F25" s="29" t="s">
        <v>99</v>
      </c>
      <c r="G25" s="29" t="s">
        <v>99</v>
      </c>
      <c r="H25" s="29" t="s">
        <v>99</v>
      </c>
      <c r="I25" s="29"/>
      <c r="J25" s="29"/>
      <c r="K25" s="65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 ht="14.25" hidden="1" x14ac:dyDescent="0.25">
      <c r="A26" s="70" t="s">
        <v>100</v>
      </c>
      <c r="B26" s="30" t="s">
        <v>101</v>
      </c>
      <c r="C26" s="30" t="s">
        <v>101</v>
      </c>
      <c r="D26" s="30" t="s">
        <v>101</v>
      </c>
      <c r="E26" s="30" t="s">
        <v>101</v>
      </c>
      <c r="F26" s="30" t="s">
        <v>101</v>
      </c>
      <c r="G26" s="30" t="s">
        <v>101</v>
      </c>
      <c r="H26" s="30" t="s">
        <v>101</v>
      </c>
      <c r="I26" s="30" t="s">
        <v>101</v>
      </c>
      <c r="J26" s="30" t="s">
        <v>101</v>
      </c>
      <c r="K26" s="65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ht="42.75" hidden="1" x14ac:dyDescent="0.25">
      <c r="A27" s="70" t="s">
        <v>102</v>
      </c>
      <c r="B27" s="30" t="s">
        <v>103</v>
      </c>
      <c r="C27" s="30" t="s">
        <v>103</v>
      </c>
      <c r="D27" s="30" t="s">
        <v>103</v>
      </c>
      <c r="E27" s="30" t="s">
        <v>103</v>
      </c>
      <c r="F27" s="30" t="s">
        <v>103</v>
      </c>
      <c r="G27" s="30" t="s">
        <v>103</v>
      </c>
      <c r="H27" s="30" t="s">
        <v>103</v>
      </c>
      <c r="I27" s="30" t="s">
        <v>103</v>
      </c>
      <c r="J27" s="30" t="s">
        <v>103</v>
      </c>
      <c r="K27" s="65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s="3" customFormat="1" ht="14.25" x14ac:dyDescent="0.25">
      <c r="A28" s="69" t="s">
        <v>0</v>
      </c>
      <c r="B28" s="29"/>
      <c r="C28" s="29"/>
      <c r="D28" s="29"/>
      <c r="E28" s="29"/>
      <c r="F28" s="29"/>
      <c r="G28" s="29"/>
      <c r="H28" s="29"/>
      <c r="I28" s="29"/>
      <c r="J28" s="29"/>
      <c r="K28" s="65"/>
    </row>
    <row r="29" spans="1:37" ht="32.25" customHeight="1" x14ac:dyDescent="0.25">
      <c r="A29" s="68" t="s">
        <v>104</v>
      </c>
      <c r="B29" s="44" t="s">
        <v>105</v>
      </c>
      <c r="C29" s="44" t="s">
        <v>105</v>
      </c>
      <c r="D29" s="44" t="s">
        <v>105</v>
      </c>
      <c r="E29" s="44" t="s">
        <v>368</v>
      </c>
      <c r="F29" s="44" t="s">
        <v>201</v>
      </c>
      <c r="G29" s="44" t="s">
        <v>201</v>
      </c>
      <c r="H29" s="44" t="s">
        <v>368</v>
      </c>
      <c r="I29" s="29" t="s">
        <v>368</v>
      </c>
      <c r="J29" s="29" t="s">
        <v>368</v>
      </c>
      <c r="K29" s="81" t="s">
        <v>317</v>
      </c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33.75" hidden="1" customHeight="1" x14ac:dyDescent="0.25">
      <c r="A30" s="68" t="s">
        <v>106</v>
      </c>
      <c r="B30" s="29" t="s">
        <v>107</v>
      </c>
      <c r="C30" s="29" t="s">
        <v>107</v>
      </c>
      <c r="D30" s="29" t="s">
        <v>107</v>
      </c>
      <c r="E30" s="29" t="s">
        <v>107</v>
      </c>
      <c r="F30" s="29" t="s">
        <v>202</v>
      </c>
      <c r="G30" s="29" t="s">
        <v>202</v>
      </c>
      <c r="H30" s="29" t="s">
        <v>202</v>
      </c>
      <c r="I30" s="44"/>
      <c r="J30" s="44"/>
      <c r="K30" s="82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ht="18.75" hidden="1" customHeight="1" x14ac:dyDescent="0.25">
      <c r="A31" s="68" t="s">
        <v>108</v>
      </c>
      <c r="B31" s="29" t="s">
        <v>109</v>
      </c>
      <c r="C31" s="29" t="s">
        <v>109</v>
      </c>
      <c r="D31" s="29" t="s">
        <v>109</v>
      </c>
      <c r="E31" s="29" t="s">
        <v>109</v>
      </c>
      <c r="F31" s="29" t="s">
        <v>109</v>
      </c>
      <c r="G31" s="29" t="s">
        <v>109</v>
      </c>
      <c r="H31" s="29" t="s">
        <v>109</v>
      </c>
      <c r="I31" s="29" t="s">
        <v>109</v>
      </c>
      <c r="J31" s="29" t="s">
        <v>109</v>
      </c>
      <c r="K31" s="65" t="s">
        <v>251</v>
      </c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ht="18.75" customHeight="1" x14ac:dyDescent="0.25">
      <c r="A32" s="68" t="s">
        <v>19</v>
      </c>
      <c r="B32" s="31" t="s">
        <v>70</v>
      </c>
      <c r="C32" s="31" t="s">
        <v>70</v>
      </c>
      <c r="D32" s="31" t="s">
        <v>70</v>
      </c>
      <c r="E32" s="31" t="s">
        <v>70</v>
      </c>
      <c r="F32" s="31" t="s">
        <v>70</v>
      </c>
      <c r="G32" s="31" t="s">
        <v>70</v>
      </c>
      <c r="H32" s="31" t="s">
        <v>70</v>
      </c>
      <c r="I32" s="31" t="s">
        <v>70</v>
      </c>
      <c r="J32" s="31" t="s">
        <v>70</v>
      </c>
      <c r="K32" s="65" t="s">
        <v>318</v>
      </c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s="5" customFormat="1" ht="40.5" customHeight="1" x14ac:dyDescent="0.25">
      <c r="A33" s="68" t="s">
        <v>110</v>
      </c>
      <c r="B33" s="29" t="s">
        <v>111</v>
      </c>
      <c r="C33" s="29" t="s">
        <v>111</v>
      </c>
      <c r="D33" s="29" t="s">
        <v>111</v>
      </c>
      <c r="E33" s="29" t="s">
        <v>111</v>
      </c>
      <c r="F33" s="29" t="s">
        <v>111</v>
      </c>
      <c r="G33" s="29" t="s">
        <v>111</v>
      </c>
      <c r="H33" s="29" t="s">
        <v>111</v>
      </c>
      <c r="I33" s="83" t="s">
        <v>324</v>
      </c>
      <c r="J33" s="83" t="s">
        <v>324</v>
      </c>
      <c r="K33" s="65" t="s">
        <v>325</v>
      </c>
    </row>
    <row r="34" spans="1:37" s="5" customFormat="1" ht="14.25" x14ac:dyDescent="0.25">
      <c r="A34" s="68" t="s">
        <v>20</v>
      </c>
      <c r="B34" s="29" t="s">
        <v>112</v>
      </c>
      <c r="C34" s="29" t="s">
        <v>112</v>
      </c>
      <c r="D34" s="29" t="s">
        <v>112</v>
      </c>
      <c r="E34" s="29" t="s">
        <v>112</v>
      </c>
      <c r="F34" s="29" t="s">
        <v>112</v>
      </c>
      <c r="G34" s="29" t="s">
        <v>112</v>
      </c>
      <c r="H34" s="29" t="s">
        <v>112</v>
      </c>
      <c r="I34" s="29" t="s">
        <v>112</v>
      </c>
      <c r="J34" s="29" t="s">
        <v>112</v>
      </c>
      <c r="K34" s="65" t="s">
        <v>319</v>
      </c>
    </row>
    <row r="35" spans="1:37" s="5" customFormat="1" ht="28.5" hidden="1" x14ac:dyDescent="0.25">
      <c r="A35" s="68" t="s">
        <v>71</v>
      </c>
      <c r="B35" s="29" t="s">
        <v>113</v>
      </c>
      <c r="C35" s="29" t="s">
        <v>113</v>
      </c>
      <c r="D35" s="29" t="s">
        <v>223</v>
      </c>
      <c r="E35" s="29" t="s">
        <v>223</v>
      </c>
      <c r="F35" s="29" t="s">
        <v>113</v>
      </c>
      <c r="G35" s="29" t="s">
        <v>223</v>
      </c>
      <c r="H35" s="29" t="s">
        <v>223</v>
      </c>
      <c r="I35" s="44" t="s">
        <v>223</v>
      </c>
      <c r="J35" s="44" t="s">
        <v>223</v>
      </c>
      <c r="K35" s="65"/>
    </row>
    <row r="36" spans="1:37" s="5" customFormat="1" ht="71.25" x14ac:dyDescent="0.25">
      <c r="A36" s="68" t="s">
        <v>114</v>
      </c>
      <c r="B36" s="29" t="s">
        <v>115</v>
      </c>
      <c r="C36" s="29" t="s">
        <v>203</v>
      </c>
      <c r="D36" s="29" t="s">
        <v>221</v>
      </c>
      <c r="E36" s="29" t="s">
        <v>221</v>
      </c>
      <c r="F36" s="29" t="s">
        <v>115</v>
      </c>
      <c r="G36" s="29" t="s">
        <v>221</v>
      </c>
      <c r="H36" s="29" t="s">
        <v>221</v>
      </c>
      <c r="I36" s="29" t="s">
        <v>221</v>
      </c>
      <c r="J36" s="29" t="s">
        <v>221</v>
      </c>
      <c r="K36" s="65" t="s">
        <v>316</v>
      </c>
    </row>
    <row r="37" spans="1:37" ht="49.15" customHeight="1" x14ac:dyDescent="0.25">
      <c r="A37" s="68" t="s">
        <v>116</v>
      </c>
      <c r="B37" s="29" t="s">
        <v>117</v>
      </c>
      <c r="C37" s="29" t="s">
        <v>222</v>
      </c>
      <c r="D37" s="29" t="s">
        <v>224</v>
      </c>
      <c r="E37" s="29" t="s">
        <v>224</v>
      </c>
      <c r="F37" s="29" t="s">
        <v>117</v>
      </c>
      <c r="G37" s="29" t="s">
        <v>224</v>
      </c>
      <c r="H37" s="29" t="s">
        <v>224</v>
      </c>
      <c r="I37" s="65" t="s">
        <v>320</v>
      </c>
      <c r="J37" s="65" t="s">
        <v>320</v>
      </c>
      <c r="K37" s="65" t="s">
        <v>322</v>
      </c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 ht="51" customHeight="1" x14ac:dyDescent="0.25">
      <c r="A38" s="68" t="s">
        <v>118</v>
      </c>
      <c r="B38" s="29" t="s">
        <v>119</v>
      </c>
      <c r="C38" s="29" t="s">
        <v>225</v>
      </c>
      <c r="D38" s="29" t="s">
        <v>226</v>
      </c>
      <c r="E38" s="29" t="s">
        <v>226</v>
      </c>
      <c r="F38" s="29" t="s">
        <v>119</v>
      </c>
      <c r="G38" s="29" t="s">
        <v>227</v>
      </c>
      <c r="H38" s="29" t="s">
        <v>226</v>
      </c>
      <c r="I38" s="65" t="s">
        <v>320</v>
      </c>
      <c r="J38" s="65" t="s">
        <v>320</v>
      </c>
      <c r="K38" s="65" t="s">
        <v>322</v>
      </c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 ht="14.25" hidden="1" x14ac:dyDescent="0.25">
      <c r="A39" s="68" t="s">
        <v>1</v>
      </c>
      <c r="B39" s="29"/>
      <c r="C39" s="29"/>
      <c r="D39" s="29"/>
      <c r="E39" s="29"/>
      <c r="F39" s="29"/>
      <c r="G39" s="29"/>
      <c r="H39" s="29"/>
      <c r="I39" s="29"/>
      <c r="J39" s="29"/>
      <c r="K39" s="65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 ht="14.25" hidden="1" x14ac:dyDescent="0.25">
      <c r="A40" s="68" t="s">
        <v>2</v>
      </c>
      <c r="B40" s="29"/>
      <c r="C40" s="29"/>
      <c r="D40" s="29"/>
      <c r="E40" s="29"/>
      <c r="F40" s="29"/>
      <c r="G40" s="29"/>
      <c r="H40" s="29"/>
      <c r="I40" s="29"/>
      <c r="J40" s="29"/>
      <c r="K40" s="65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 ht="14.25" hidden="1" x14ac:dyDescent="0.25">
      <c r="A41" s="68" t="s">
        <v>3</v>
      </c>
      <c r="B41" s="29"/>
      <c r="C41" s="29"/>
      <c r="D41" s="29"/>
      <c r="E41" s="29"/>
      <c r="F41" s="29"/>
      <c r="G41" s="29"/>
      <c r="H41" s="29"/>
      <c r="I41" s="29"/>
      <c r="J41" s="29"/>
      <c r="K41" s="65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 ht="14.25" x14ac:dyDescent="0.25">
      <c r="A42" s="69" t="s">
        <v>4</v>
      </c>
      <c r="B42" s="32"/>
      <c r="C42" s="32"/>
      <c r="D42" s="32"/>
      <c r="E42" s="32"/>
      <c r="F42" s="32"/>
      <c r="G42" s="32"/>
      <c r="H42" s="32"/>
      <c r="I42" s="32"/>
      <c r="J42" s="32"/>
      <c r="K42" s="65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 s="3" customFormat="1" ht="14.25" x14ac:dyDescent="0.25">
      <c r="A43" s="68" t="s">
        <v>120</v>
      </c>
      <c r="B43" s="29" t="s">
        <v>121</v>
      </c>
      <c r="C43" s="29" t="s">
        <v>121</v>
      </c>
      <c r="D43" s="29" t="s">
        <v>121</v>
      </c>
      <c r="E43" s="29" t="s">
        <v>369</v>
      </c>
      <c r="F43" s="29" t="s">
        <v>208</v>
      </c>
      <c r="G43" s="29" t="s">
        <v>208</v>
      </c>
      <c r="H43" s="44" t="s">
        <v>369</v>
      </c>
      <c r="I43" s="108" t="s">
        <v>370</v>
      </c>
      <c r="J43" s="108" t="s">
        <v>370</v>
      </c>
      <c r="K43" s="104" t="s">
        <v>359</v>
      </c>
    </row>
    <row r="44" spans="1:37" s="3" customFormat="1" ht="14.25" hidden="1" x14ac:dyDescent="0.25">
      <c r="A44" s="68" t="s">
        <v>122</v>
      </c>
      <c r="B44" s="29" t="s">
        <v>123</v>
      </c>
      <c r="C44" s="29" t="s">
        <v>123</v>
      </c>
      <c r="D44" s="29" t="s">
        <v>123</v>
      </c>
      <c r="E44" s="29" t="s">
        <v>123</v>
      </c>
      <c r="F44" s="29" t="s">
        <v>209</v>
      </c>
      <c r="G44" s="29" t="s">
        <v>209</v>
      </c>
      <c r="H44" s="29" t="s">
        <v>209</v>
      </c>
      <c r="I44" s="108"/>
      <c r="J44" s="108"/>
      <c r="K44" s="65"/>
    </row>
    <row r="45" spans="1:37" s="3" customFormat="1" ht="28.5" x14ac:dyDescent="0.25">
      <c r="A45" s="68" t="s">
        <v>365</v>
      </c>
      <c r="B45" s="29" t="s">
        <v>124</v>
      </c>
      <c r="C45" s="29" t="s">
        <v>124</v>
      </c>
      <c r="D45" s="29" t="s">
        <v>124</v>
      </c>
      <c r="E45" s="29" t="s">
        <v>355</v>
      </c>
      <c r="F45" s="29" t="s">
        <v>124</v>
      </c>
      <c r="G45" s="29" t="s">
        <v>124</v>
      </c>
      <c r="H45" s="29" t="s">
        <v>355</v>
      </c>
      <c r="I45" s="108" t="s">
        <v>358</v>
      </c>
      <c r="J45" s="108" t="s">
        <v>358</v>
      </c>
      <c r="K45" s="104" t="s">
        <v>359</v>
      </c>
    </row>
    <row r="46" spans="1:37" s="3" customFormat="1" ht="28.5" hidden="1" x14ac:dyDescent="0.25">
      <c r="A46" s="68" t="s">
        <v>125</v>
      </c>
      <c r="B46" s="29" t="s">
        <v>126</v>
      </c>
      <c r="C46" s="29" t="s">
        <v>126</v>
      </c>
      <c r="D46" s="29" t="s">
        <v>126</v>
      </c>
      <c r="E46" s="29" t="s">
        <v>126</v>
      </c>
      <c r="F46" s="29" t="s">
        <v>126</v>
      </c>
      <c r="G46" s="29" t="s">
        <v>126</v>
      </c>
      <c r="H46" s="29" t="s">
        <v>126</v>
      </c>
      <c r="I46" s="29"/>
      <c r="J46" s="29"/>
      <c r="K46" s="65"/>
    </row>
    <row r="47" spans="1:37" ht="14.25" x14ac:dyDescent="0.25">
      <c r="A47" s="68" t="s">
        <v>23</v>
      </c>
      <c r="B47" s="31" t="s">
        <v>72</v>
      </c>
      <c r="C47" s="31" t="s">
        <v>72</v>
      </c>
      <c r="D47" s="31" t="s">
        <v>72</v>
      </c>
      <c r="E47" s="31" t="s">
        <v>72</v>
      </c>
      <c r="F47" s="31" t="s">
        <v>72</v>
      </c>
      <c r="G47" s="31" t="s">
        <v>72</v>
      </c>
      <c r="H47" s="31" t="s">
        <v>72</v>
      </c>
      <c r="I47" s="31" t="s">
        <v>72</v>
      </c>
      <c r="J47" s="31" t="s">
        <v>72</v>
      </c>
      <c r="K47" s="65" t="s">
        <v>251</v>
      </c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 ht="42.75" x14ac:dyDescent="0.25">
      <c r="A48" s="68" t="s">
        <v>127</v>
      </c>
      <c r="B48" s="29" t="s">
        <v>111</v>
      </c>
      <c r="C48" s="29" t="s">
        <v>111</v>
      </c>
      <c r="D48" s="29" t="s">
        <v>111</v>
      </c>
      <c r="E48" s="29" t="s">
        <v>111</v>
      </c>
      <c r="F48" s="29" t="s">
        <v>111</v>
      </c>
      <c r="G48" s="29" t="s">
        <v>111</v>
      </c>
      <c r="H48" s="29" t="s">
        <v>111</v>
      </c>
      <c r="I48" s="44" t="s">
        <v>111</v>
      </c>
      <c r="J48" s="44" t="s">
        <v>111</v>
      </c>
      <c r="K48" s="65" t="s">
        <v>363</v>
      </c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 ht="14.25" hidden="1" x14ac:dyDescent="0.25">
      <c r="A49" s="68" t="s">
        <v>128</v>
      </c>
      <c r="B49" s="31" t="s">
        <v>129</v>
      </c>
      <c r="C49" s="31" t="s">
        <v>129</v>
      </c>
      <c r="D49" s="31" t="s">
        <v>129</v>
      </c>
      <c r="E49" s="31" t="s">
        <v>129</v>
      </c>
      <c r="F49" s="31" t="s">
        <v>129</v>
      </c>
      <c r="G49" s="31" t="s">
        <v>129</v>
      </c>
      <c r="H49" s="31" t="s">
        <v>129</v>
      </c>
      <c r="I49" s="31" t="s">
        <v>129</v>
      </c>
      <c r="J49" s="31" t="s">
        <v>129</v>
      </c>
      <c r="K49" s="65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 ht="28.5" hidden="1" x14ac:dyDescent="0.25">
      <c r="A50" s="68" t="s">
        <v>130</v>
      </c>
      <c r="B50" s="31" t="s">
        <v>131</v>
      </c>
      <c r="C50" s="31" t="s">
        <v>131</v>
      </c>
      <c r="D50" s="31" t="s">
        <v>131</v>
      </c>
      <c r="E50" s="31" t="s">
        <v>131</v>
      </c>
      <c r="F50" s="31" t="s">
        <v>131</v>
      </c>
      <c r="G50" s="31" t="s">
        <v>131</v>
      </c>
      <c r="H50" s="31" t="s">
        <v>131</v>
      </c>
      <c r="I50" s="31" t="s">
        <v>252</v>
      </c>
      <c r="J50" s="31" t="s">
        <v>252</v>
      </c>
      <c r="K50" s="65" t="s">
        <v>303</v>
      </c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28.5" hidden="1" x14ac:dyDescent="0.25">
      <c r="A51" s="68" t="s">
        <v>132</v>
      </c>
      <c r="B51" s="31" t="s">
        <v>133</v>
      </c>
      <c r="C51" s="31" t="s">
        <v>133</v>
      </c>
      <c r="D51" s="31" t="s">
        <v>133</v>
      </c>
      <c r="E51" s="31" t="s">
        <v>133</v>
      </c>
      <c r="F51" s="31" t="s">
        <v>133</v>
      </c>
      <c r="G51" s="31" t="s">
        <v>133</v>
      </c>
      <c r="H51" s="31" t="s">
        <v>133</v>
      </c>
      <c r="I51" s="31" t="s">
        <v>304</v>
      </c>
      <c r="J51" s="31" t="s">
        <v>304</v>
      </c>
      <c r="K51" s="65" t="s">
        <v>303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 ht="28.5" hidden="1" x14ac:dyDescent="0.25">
      <c r="A52" s="68" t="s">
        <v>134</v>
      </c>
      <c r="B52" s="31" t="s">
        <v>133</v>
      </c>
      <c r="C52" s="31" t="s">
        <v>133</v>
      </c>
      <c r="D52" s="31" t="s">
        <v>133</v>
      </c>
      <c r="E52" s="31" t="s">
        <v>133</v>
      </c>
      <c r="F52" s="31" t="s">
        <v>133</v>
      </c>
      <c r="G52" s="31" t="s">
        <v>133</v>
      </c>
      <c r="H52" s="31" t="s">
        <v>133</v>
      </c>
      <c r="I52" s="31"/>
      <c r="J52" s="31"/>
      <c r="K52" s="65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42.75" x14ac:dyDescent="0.25">
      <c r="A53" s="68" t="s">
        <v>135</v>
      </c>
      <c r="B53" s="31" t="s">
        <v>136</v>
      </c>
      <c r="C53" s="31" t="s">
        <v>136</v>
      </c>
      <c r="D53" s="31" t="s">
        <v>136</v>
      </c>
      <c r="E53" s="31" t="s">
        <v>141</v>
      </c>
      <c r="F53" s="31" t="s">
        <v>136</v>
      </c>
      <c r="G53" s="31" t="s">
        <v>136</v>
      </c>
      <c r="H53" s="31" t="s">
        <v>141</v>
      </c>
      <c r="I53" s="31" t="s">
        <v>366</v>
      </c>
      <c r="J53" s="31" t="s">
        <v>366</v>
      </c>
      <c r="K53" s="65" t="s">
        <v>367</v>
      </c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 ht="28.5" hidden="1" x14ac:dyDescent="0.25">
      <c r="A54" s="68" t="s">
        <v>137</v>
      </c>
      <c r="B54" s="31" t="s">
        <v>133</v>
      </c>
      <c r="C54" s="31" t="s">
        <v>133</v>
      </c>
      <c r="D54" s="31" t="s">
        <v>133</v>
      </c>
      <c r="E54" s="31" t="s">
        <v>133</v>
      </c>
      <c r="F54" s="31" t="s">
        <v>133</v>
      </c>
      <c r="G54" s="31" t="s">
        <v>133</v>
      </c>
      <c r="H54" s="31" t="s">
        <v>133</v>
      </c>
      <c r="I54" s="31"/>
      <c r="J54" s="31"/>
      <c r="K54" s="65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 ht="28.5" hidden="1" x14ac:dyDescent="0.25">
      <c r="A55" s="68" t="s">
        <v>138</v>
      </c>
      <c r="B55" s="31" t="s">
        <v>136</v>
      </c>
      <c r="C55" s="31" t="s">
        <v>136</v>
      </c>
      <c r="D55" s="31" t="s">
        <v>136</v>
      </c>
      <c r="E55" s="31" t="s">
        <v>136</v>
      </c>
      <c r="F55" s="31" t="s">
        <v>136</v>
      </c>
      <c r="G55" s="31" t="s">
        <v>136</v>
      </c>
      <c r="H55" s="31" t="s">
        <v>136</v>
      </c>
      <c r="I55" s="31"/>
      <c r="J55" s="31"/>
      <c r="K55" s="65" t="s">
        <v>198</v>
      </c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 ht="28.5" hidden="1" x14ac:dyDescent="0.25">
      <c r="A56" s="68" t="s">
        <v>139</v>
      </c>
      <c r="B56" s="29" t="s">
        <v>136</v>
      </c>
      <c r="C56" s="29" t="s">
        <v>136</v>
      </c>
      <c r="D56" s="29" t="s">
        <v>136</v>
      </c>
      <c r="E56" s="29" t="s">
        <v>136</v>
      </c>
      <c r="F56" s="29" t="s">
        <v>136</v>
      </c>
      <c r="G56" s="29" t="s">
        <v>136</v>
      </c>
      <c r="H56" s="29" t="s">
        <v>136</v>
      </c>
      <c r="I56" s="29"/>
      <c r="J56" s="29"/>
      <c r="K56" s="65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 ht="28.5" hidden="1" x14ac:dyDescent="0.25">
      <c r="A57" s="68" t="s">
        <v>140</v>
      </c>
      <c r="B57" s="29" t="s">
        <v>141</v>
      </c>
      <c r="C57" s="29" t="s">
        <v>141</v>
      </c>
      <c r="D57" s="29" t="s">
        <v>141</v>
      </c>
      <c r="E57" s="29" t="s">
        <v>141</v>
      </c>
      <c r="F57" s="29" t="s">
        <v>141</v>
      </c>
      <c r="G57" s="29" t="s">
        <v>141</v>
      </c>
      <c r="H57" s="29" t="s">
        <v>141</v>
      </c>
      <c r="I57" s="29"/>
      <c r="J57" s="29"/>
      <c r="K57" s="65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 ht="28.5" hidden="1" x14ac:dyDescent="0.25">
      <c r="A58" s="18" t="s">
        <v>197</v>
      </c>
      <c r="B58" s="29"/>
      <c r="C58" s="29"/>
      <c r="D58" s="29"/>
      <c r="E58" s="29"/>
      <c r="F58" s="29"/>
      <c r="G58" s="29"/>
      <c r="H58" s="29"/>
      <c r="I58" s="29"/>
      <c r="J58" s="29"/>
      <c r="K58" s="65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 ht="28.5" x14ac:dyDescent="0.25">
      <c r="A59" s="18" t="s">
        <v>142</v>
      </c>
      <c r="B59" s="29" t="s">
        <v>143</v>
      </c>
      <c r="C59" s="29" t="s">
        <v>143</v>
      </c>
      <c r="D59" s="29" t="s">
        <v>143</v>
      </c>
      <c r="E59" s="29" t="s">
        <v>143</v>
      </c>
      <c r="F59" s="29" t="s">
        <v>143</v>
      </c>
      <c r="G59" s="29" t="s">
        <v>143</v>
      </c>
      <c r="H59" s="29" t="s">
        <v>143</v>
      </c>
      <c r="I59" s="31" t="s">
        <v>323</v>
      </c>
      <c r="J59" s="31" t="s">
        <v>323</v>
      </c>
      <c r="K59" s="65" t="s">
        <v>321</v>
      </c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 ht="28.5" hidden="1" x14ac:dyDescent="0.25">
      <c r="A60" s="18" t="s">
        <v>144</v>
      </c>
      <c r="B60" s="29" t="s">
        <v>145</v>
      </c>
      <c r="C60" s="29" t="s">
        <v>145</v>
      </c>
      <c r="D60" s="29" t="s">
        <v>145</v>
      </c>
      <c r="E60" s="29" t="s">
        <v>145</v>
      </c>
      <c r="F60" s="29" t="s">
        <v>145</v>
      </c>
      <c r="G60" s="29" t="s">
        <v>145</v>
      </c>
      <c r="H60" s="29" t="s">
        <v>145</v>
      </c>
      <c r="I60" s="29"/>
      <c r="J60" s="29"/>
      <c r="K60" s="65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 ht="28.5" hidden="1" x14ac:dyDescent="0.25">
      <c r="A61" s="18" t="s">
        <v>146</v>
      </c>
      <c r="B61" s="29" t="s">
        <v>147</v>
      </c>
      <c r="C61" s="29" t="s">
        <v>147</v>
      </c>
      <c r="D61" s="29" t="s">
        <v>147</v>
      </c>
      <c r="E61" s="29" t="s">
        <v>147</v>
      </c>
      <c r="F61" s="29" t="s">
        <v>147</v>
      </c>
      <c r="G61" s="29" t="s">
        <v>147</v>
      </c>
      <c r="H61" s="29" t="s">
        <v>147</v>
      </c>
      <c r="I61" s="29" t="s">
        <v>147</v>
      </c>
      <c r="J61" s="29" t="s">
        <v>147</v>
      </c>
      <c r="K61" s="65" t="s">
        <v>251</v>
      </c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 ht="28.5" hidden="1" x14ac:dyDescent="0.25">
      <c r="A62" s="18" t="s">
        <v>148</v>
      </c>
      <c r="B62" s="29" t="s">
        <v>149</v>
      </c>
      <c r="C62" s="29" t="s">
        <v>149</v>
      </c>
      <c r="D62" s="29" t="s">
        <v>149</v>
      </c>
      <c r="E62" s="29" t="s">
        <v>149</v>
      </c>
      <c r="F62" s="29" t="s">
        <v>149</v>
      </c>
      <c r="G62" s="29" t="s">
        <v>149</v>
      </c>
      <c r="H62" s="29" t="s">
        <v>149</v>
      </c>
      <c r="I62" s="29" t="s">
        <v>149</v>
      </c>
      <c r="J62" s="29" t="s">
        <v>149</v>
      </c>
      <c r="K62" s="65" t="s">
        <v>251</v>
      </c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 ht="14.25" x14ac:dyDescent="0.25">
      <c r="A63" s="69" t="s">
        <v>5</v>
      </c>
      <c r="B63" s="32"/>
      <c r="C63" s="32"/>
      <c r="D63" s="32"/>
      <c r="E63" s="32"/>
      <c r="F63" s="32"/>
      <c r="G63" s="32"/>
      <c r="H63" s="32"/>
      <c r="I63" s="32"/>
      <c r="J63" s="32"/>
      <c r="K63" s="65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 ht="14.25" x14ac:dyDescent="0.25">
      <c r="A64" s="68" t="s">
        <v>24</v>
      </c>
      <c r="B64" s="29" t="s">
        <v>85</v>
      </c>
      <c r="C64" s="29" t="s">
        <v>85</v>
      </c>
      <c r="D64" s="29" t="s">
        <v>85</v>
      </c>
      <c r="E64" s="29" t="s">
        <v>85</v>
      </c>
      <c r="F64" s="29" t="s">
        <v>185</v>
      </c>
      <c r="G64" s="29" t="s">
        <v>185</v>
      </c>
      <c r="H64" s="29" t="s">
        <v>185</v>
      </c>
      <c r="I64" s="29" t="s">
        <v>185</v>
      </c>
      <c r="J64" s="29" t="s">
        <v>185</v>
      </c>
      <c r="K64" s="78" t="s">
        <v>330</v>
      </c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 ht="14.25" x14ac:dyDescent="0.25">
      <c r="A65" s="68" t="s">
        <v>8</v>
      </c>
      <c r="B65" s="29" t="s">
        <v>213</v>
      </c>
      <c r="C65" s="29" t="s">
        <v>213</v>
      </c>
      <c r="D65" s="29" t="s">
        <v>213</v>
      </c>
      <c r="E65" s="29" t="s">
        <v>213</v>
      </c>
      <c r="F65" s="29" t="s">
        <v>213</v>
      </c>
      <c r="G65" s="29" t="s">
        <v>228</v>
      </c>
      <c r="H65" s="29" t="s">
        <v>228</v>
      </c>
      <c r="I65" s="29" t="s">
        <v>185</v>
      </c>
      <c r="J65" s="29" t="s">
        <v>185</v>
      </c>
      <c r="K65" s="80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 ht="63" customHeight="1" x14ac:dyDescent="0.25">
      <c r="A66" s="68" t="s">
        <v>150</v>
      </c>
      <c r="B66" s="29" t="s">
        <v>151</v>
      </c>
      <c r="C66" s="29" t="s">
        <v>151</v>
      </c>
      <c r="D66" s="29" t="s">
        <v>151</v>
      </c>
      <c r="E66" s="29" t="s">
        <v>151</v>
      </c>
      <c r="F66" s="29" t="s">
        <v>210</v>
      </c>
      <c r="G66" s="29" t="s">
        <v>229</v>
      </c>
      <c r="H66" s="29" t="s">
        <v>238</v>
      </c>
      <c r="I66" s="83" t="s">
        <v>326</v>
      </c>
      <c r="J66" s="83" t="s">
        <v>326</v>
      </c>
      <c r="K66" s="80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1:37" ht="63" customHeight="1" x14ac:dyDescent="0.25">
      <c r="A67" s="68" t="s">
        <v>240</v>
      </c>
      <c r="B67" s="29" t="s">
        <v>185</v>
      </c>
      <c r="C67" s="29" t="s">
        <v>185</v>
      </c>
      <c r="D67" s="29" t="s">
        <v>185</v>
      </c>
      <c r="E67" s="29" t="s">
        <v>185</v>
      </c>
      <c r="F67" s="29" t="s">
        <v>230</v>
      </c>
      <c r="G67" s="29" t="s">
        <v>231</v>
      </c>
      <c r="H67" s="29" t="s">
        <v>239</v>
      </c>
      <c r="I67" s="83" t="s">
        <v>327</v>
      </c>
      <c r="J67" s="83" t="s">
        <v>327</v>
      </c>
      <c r="K67" s="80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1:37" s="27" customFormat="1" ht="63" customHeight="1" x14ac:dyDescent="0.25">
      <c r="A68" s="68" t="s">
        <v>241</v>
      </c>
      <c r="B68" s="29" t="s">
        <v>185</v>
      </c>
      <c r="C68" s="29" t="s">
        <v>185</v>
      </c>
      <c r="D68" s="29" t="s">
        <v>185</v>
      </c>
      <c r="E68" s="29" t="s">
        <v>185</v>
      </c>
      <c r="F68" s="29" t="s">
        <v>230</v>
      </c>
      <c r="G68" s="29" t="s">
        <v>231</v>
      </c>
      <c r="H68" s="29" t="s">
        <v>242</v>
      </c>
      <c r="I68" s="83" t="s">
        <v>328</v>
      </c>
      <c r="J68" s="83" t="s">
        <v>328</v>
      </c>
      <c r="K68" s="80"/>
    </row>
    <row r="69" spans="1:37" ht="31.5" customHeight="1" x14ac:dyDescent="0.25">
      <c r="A69" s="68" t="s">
        <v>6</v>
      </c>
      <c r="B69" s="29" t="s">
        <v>84</v>
      </c>
      <c r="C69" s="29" t="s">
        <v>84</v>
      </c>
      <c r="D69" s="29" t="s">
        <v>84</v>
      </c>
      <c r="E69" s="29" t="s">
        <v>84</v>
      </c>
      <c r="F69" s="29" t="s">
        <v>185</v>
      </c>
      <c r="G69" s="29" t="s">
        <v>232</v>
      </c>
      <c r="H69" s="29" t="s">
        <v>232</v>
      </c>
      <c r="I69" s="83" t="s">
        <v>329</v>
      </c>
      <c r="J69" s="83" t="s">
        <v>329</v>
      </c>
      <c r="K69" s="79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 s="3" customFormat="1" ht="51" customHeight="1" x14ac:dyDescent="0.25">
      <c r="A70" s="68" t="s">
        <v>7</v>
      </c>
      <c r="B70" s="29" t="s">
        <v>152</v>
      </c>
      <c r="C70" s="29" t="s">
        <v>152</v>
      </c>
      <c r="D70" s="29" t="s">
        <v>152</v>
      </c>
      <c r="E70" s="29" t="s">
        <v>152</v>
      </c>
      <c r="F70" s="29" t="s">
        <v>152</v>
      </c>
      <c r="G70" s="29" t="s">
        <v>152</v>
      </c>
      <c r="H70" s="44" t="s">
        <v>152</v>
      </c>
      <c r="I70" s="65" t="s">
        <v>331</v>
      </c>
      <c r="J70" s="65" t="s">
        <v>331</v>
      </c>
      <c r="K70" s="78" t="s">
        <v>360</v>
      </c>
    </row>
    <row r="71" spans="1:37" ht="14.25" hidden="1" x14ac:dyDescent="0.25">
      <c r="A71" s="68" t="s">
        <v>8</v>
      </c>
      <c r="B71" s="29" t="s">
        <v>73</v>
      </c>
      <c r="C71" s="29" t="s">
        <v>73</v>
      </c>
      <c r="D71" s="29" t="s">
        <v>73</v>
      </c>
      <c r="E71" s="29" t="s">
        <v>73</v>
      </c>
      <c r="F71" s="29" t="s">
        <v>73</v>
      </c>
      <c r="G71" s="29" t="s">
        <v>73</v>
      </c>
      <c r="H71" s="29" t="s">
        <v>73</v>
      </c>
      <c r="I71" s="29" t="s">
        <v>73</v>
      </c>
      <c r="J71" s="29" t="s">
        <v>73</v>
      </c>
      <c r="K71" s="79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 ht="14.25" hidden="1" x14ac:dyDescent="0.25">
      <c r="A72" s="69" t="s">
        <v>25</v>
      </c>
      <c r="B72" s="29"/>
      <c r="C72" s="29"/>
      <c r="D72" s="29"/>
      <c r="E72" s="29"/>
      <c r="F72" s="29"/>
      <c r="G72" s="29"/>
      <c r="H72" s="29"/>
      <c r="I72" s="29"/>
      <c r="J72" s="29"/>
      <c r="K72" s="66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 ht="14.25" hidden="1" x14ac:dyDescent="0.25">
      <c r="A73" s="69" t="s">
        <v>74</v>
      </c>
      <c r="B73" s="30">
        <v>1.9999999999999999E-6</v>
      </c>
      <c r="C73" s="30">
        <v>1.9999999999999999E-6</v>
      </c>
      <c r="D73" s="30">
        <v>1.9999999999999999E-6</v>
      </c>
      <c r="E73" s="30">
        <v>1.9999999999999999E-6</v>
      </c>
      <c r="F73" s="30">
        <v>1.9999999999999999E-6</v>
      </c>
      <c r="G73" s="30">
        <v>1.9999999999999999E-6</v>
      </c>
      <c r="H73" s="30">
        <v>1.9999999999999999E-6</v>
      </c>
      <c r="I73" s="30"/>
      <c r="J73" s="30"/>
      <c r="K73" s="66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 ht="14.25" hidden="1" x14ac:dyDescent="0.25">
      <c r="A74" s="70" t="s">
        <v>45</v>
      </c>
      <c r="B74" s="30">
        <v>1.0000000000000001E-5</v>
      </c>
      <c r="C74" s="30">
        <v>1.0000000000000001E-5</v>
      </c>
      <c r="D74" s="30">
        <v>1.0000000000000001E-5</v>
      </c>
      <c r="E74" s="30">
        <v>1.0000000000000001E-5</v>
      </c>
      <c r="F74" s="30">
        <v>1.0000000000000001E-5</v>
      </c>
      <c r="G74" s="30">
        <v>1.0000000000000001E-5</v>
      </c>
      <c r="H74" s="30">
        <v>1.0000000000000001E-5</v>
      </c>
      <c r="I74" s="30"/>
      <c r="J74" s="30"/>
      <c r="K74" s="66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 ht="42.75" hidden="1" x14ac:dyDescent="0.25">
      <c r="A75" s="18" t="s">
        <v>75</v>
      </c>
      <c r="B75" s="29" t="s">
        <v>76</v>
      </c>
      <c r="C75" s="29" t="s">
        <v>76</v>
      </c>
      <c r="D75" s="29" t="s">
        <v>76</v>
      </c>
      <c r="E75" s="29" t="s">
        <v>76</v>
      </c>
      <c r="F75" s="29" t="s">
        <v>76</v>
      </c>
      <c r="G75" s="29" t="s">
        <v>76</v>
      </c>
      <c r="H75" s="29" t="s">
        <v>76</v>
      </c>
      <c r="I75" s="29"/>
      <c r="J75" s="29"/>
      <c r="K75" s="66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 ht="42.75" hidden="1" x14ac:dyDescent="0.25">
      <c r="A76" s="18" t="s">
        <v>77</v>
      </c>
      <c r="B76" s="29" t="s">
        <v>78</v>
      </c>
      <c r="C76" s="29" t="s">
        <v>78</v>
      </c>
      <c r="D76" s="29" t="s">
        <v>78</v>
      </c>
      <c r="E76" s="29" t="s">
        <v>78</v>
      </c>
      <c r="F76" s="29" t="s">
        <v>78</v>
      </c>
      <c r="G76" s="29" t="s">
        <v>78</v>
      </c>
      <c r="H76" s="29" t="s">
        <v>78</v>
      </c>
      <c r="I76" s="29"/>
      <c r="J76" s="29"/>
      <c r="K76" s="66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 ht="14.25" hidden="1" x14ac:dyDescent="0.25">
      <c r="A77" s="18" t="s">
        <v>153</v>
      </c>
      <c r="B77" s="29" t="s">
        <v>154</v>
      </c>
      <c r="C77" s="29" t="s">
        <v>154</v>
      </c>
      <c r="D77" s="29" t="s">
        <v>154</v>
      </c>
      <c r="E77" s="29" t="s">
        <v>154</v>
      </c>
      <c r="F77" s="29" t="s">
        <v>154</v>
      </c>
      <c r="G77" s="29" t="s">
        <v>154</v>
      </c>
      <c r="H77" s="29" t="s">
        <v>154</v>
      </c>
      <c r="I77" s="29"/>
      <c r="J77" s="29"/>
      <c r="K77" s="66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 ht="14.25" hidden="1" x14ac:dyDescent="0.25">
      <c r="A78" s="18" t="s">
        <v>155</v>
      </c>
      <c r="B78" s="29" t="s">
        <v>156</v>
      </c>
      <c r="C78" s="29" t="s">
        <v>156</v>
      </c>
      <c r="D78" s="29" t="s">
        <v>156</v>
      </c>
      <c r="E78" s="29" t="s">
        <v>156</v>
      </c>
      <c r="F78" s="29" t="s">
        <v>156</v>
      </c>
      <c r="G78" s="29" t="s">
        <v>156</v>
      </c>
      <c r="H78" s="29" t="s">
        <v>156</v>
      </c>
      <c r="I78" s="29"/>
      <c r="J78" s="29"/>
      <c r="K78" s="66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 ht="39.75" hidden="1" customHeight="1" x14ac:dyDescent="0.25">
      <c r="A79" s="18" t="s">
        <v>157</v>
      </c>
      <c r="B79" s="29" t="s">
        <v>158</v>
      </c>
      <c r="C79" s="29" t="s">
        <v>158</v>
      </c>
      <c r="D79" s="29" t="s">
        <v>158</v>
      </c>
      <c r="E79" s="29" t="s">
        <v>158</v>
      </c>
      <c r="F79" s="29" t="s">
        <v>158</v>
      </c>
      <c r="G79" s="29" t="s">
        <v>158</v>
      </c>
      <c r="H79" s="29" t="s">
        <v>158</v>
      </c>
      <c r="I79" s="29"/>
      <c r="J79" s="29"/>
      <c r="K79" s="66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 ht="30.75" hidden="1" customHeight="1" x14ac:dyDescent="0.25">
      <c r="A80" s="18" t="s">
        <v>159</v>
      </c>
      <c r="B80" s="29" t="s">
        <v>160</v>
      </c>
      <c r="C80" s="29" t="s">
        <v>160</v>
      </c>
      <c r="D80" s="29" t="s">
        <v>160</v>
      </c>
      <c r="E80" s="29" t="s">
        <v>160</v>
      </c>
      <c r="F80" s="29" t="s">
        <v>160</v>
      </c>
      <c r="G80" s="29" t="s">
        <v>160</v>
      </c>
      <c r="H80" s="29" t="s">
        <v>160</v>
      </c>
      <c r="I80" s="29"/>
      <c r="J80" s="29"/>
      <c r="K80" s="66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37" ht="42.75" hidden="1" x14ac:dyDescent="0.25">
      <c r="A81" s="68" t="s">
        <v>161</v>
      </c>
      <c r="B81" s="29" t="s">
        <v>162</v>
      </c>
      <c r="C81" s="29" t="s">
        <v>162</v>
      </c>
      <c r="D81" s="29" t="s">
        <v>162</v>
      </c>
      <c r="E81" s="29" t="s">
        <v>162</v>
      </c>
      <c r="F81" s="29" t="s">
        <v>162</v>
      </c>
      <c r="G81" s="29" t="s">
        <v>162</v>
      </c>
      <c r="H81" s="29" t="s">
        <v>162</v>
      </c>
      <c r="I81" s="29"/>
      <c r="J81" s="29"/>
      <c r="K81" s="66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</row>
    <row r="82" spans="1:37" ht="42.75" hidden="1" x14ac:dyDescent="0.25">
      <c r="A82" s="68" t="s">
        <v>163</v>
      </c>
      <c r="B82" s="29" t="s">
        <v>164</v>
      </c>
      <c r="C82" s="29" t="s">
        <v>164</v>
      </c>
      <c r="D82" s="29" t="s">
        <v>164</v>
      </c>
      <c r="E82" s="29" t="s">
        <v>164</v>
      </c>
      <c r="F82" s="29" t="s">
        <v>164</v>
      </c>
      <c r="G82" s="29" t="s">
        <v>164</v>
      </c>
      <c r="H82" s="29" t="s">
        <v>164</v>
      </c>
      <c r="I82" s="29"/>
      <c r="J82" s="29"/>
      <c r="K82" s="66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 ht="42.75" hidden="1" x14ac:dyDescent="0.25">
      <c r="A83" s="68" t="s">
        <v>79</v>
      </c>
      <c r="B83" s="29" t="s">
        <v>165</v>
      </c>
      <c r="C83" s="29" t="s">
        <v>165</v>
      </c>
      <c r="D83" s="29" t="s">
        <v>165</v>
      </c>
      <c r="E83" s="29" t="s">
        <v>165</v>
      </c>
      <c r="F83" s="29" t="s">
        <v>165</v>
      </c>
      <c r="G83" s="29" t="s">
        <v>165</v>
      </c>
      <c r="H83" s="29" t="s">
        <v>165</v>
      </c>
      <c r="I83" s="29"/>
      <c r="J83" s="29"/>
      <c r="K83" s="66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 ht="42.75" hidden="1" x14ac:dyDescent="0.25">
      <c r="A84" s="68" t="s">
        <v>80</v>
      </c>
      <c r="B84" s="29" t="s">
        <v>166</v>
      </c>
      <c r="C84" s="29" t="s">
        <v>166</v>
      </c>
      <c r="D84" s="29" t="s">
        <v>166</v>
      </c>
      <c r="E84" s="29" t="s">
        <v>166</v>
      </c>
      <c r="F84" s="29" t="s">
        <v>166</v>
      </c>
      <c r="G84" s="29" t="s">
        <v>166</v>
      </c>
      <c r="H84" s="29" t="s">
        <v>166</v>
      </c>
      <c r="I84" s="29"/>
      <c r="J84" s="29"/>
      <c r="K84" s="66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 ht="28.5" hidden="1" x14ac:dyDescent="0.25">
      <c r="A85" s="68" t="s">
        <v>55</v>
      </c>
      <c r="B85" s="29" t="s">
        <v>56</v>
      </c>
      <c r="C85" s="29" t="s">
        <v>56</v>
      </c>
      <c r="D85" s="29" t="s">
        <v>56</v>
      </c>
      <c r="E85" s="29" t="s">
        <v>56</v>
      </c>
      <c r="F85" s="29" t="s">
        <v>56</v>
      </c>
      <c r="G85" s="29" t="s">
        <v>56</v>
      </c>
      <c r="H85" s="29" t="s">
        <v>56</v>
      </c>
      <c r="I85" s="29"/>
      <c r="J85" s="29"/>
      <c r="K85" s="66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 ht="28.5" hidden="1" x14ac:dyDescent="0.25">
      <c r="A86" s="68" t="s">
        <v>57</v>
      </c>
      <c r="B86" s="33" t="s">
        <v>58</v>
      </c>
      <c r="C86" s="33" t="s">
        <v>58</v>
      </c>
      <c r="D86" s="33" t="s">
        <v>58</v>
      </c>
      <c r="E86" s="33" t="s">
        <v>58</v>
      </c>
      <c r="F86" s="33" t="s">
        <v>58</v>
      </c>
      <c r="G86" s="33" t="s">
        <v>58</v>
      </c>
      <c r="H86" s="33" t="s">
        <v>58</v>
      </c>
      <c r="I86" s="33"/>
      <c r="J86" s="33"/>
      <c r="K86" s="66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 ht="42.75" hidden="1" x14ac:dyDescent="0.25">
      <c r="A87" s="68" t="s">
        <v>81</v>
      </c>
      <c r="B87" s="29" t="s">
        <v>82</v>
      </c>
      <c r="C87" s="29" t="s">
        <v>82</v>
      </c>
      <c r="D87" s="29" t="s">
        <v>82</v>
      </c>
      <c r="E87" s="29" t="s">
        <v>82</v>
      </c>
      <c r="F87" s="29" t="s">
        <v>82</v>
      </c>
      <c r="G87" s="29" t="s">
        <v>82</v>
      </c>
      <c r="H87" s="29" t="s">
        <v>82</v>
      </c>
      <c r="I87" s="29"/>
      <c r="J87" s="29"/>
      <c r="K87" s="66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 ht="14.25" x14ac:dyDescent="0.25">
      <c r="A88" s="69" t="s">
        <v>9</v>
      </c>
      <c r="B88" s="29"/>
      <c r="C88" s="29"/>
      <c r="D88" s="29"/>
      <c r="E88" s="29"/>
      <c r="F88" s="29"/>
      <c r="G88" s="29"/>
      <c r="H88" s="29"/>
      <c r="I88" s="29"/>
      <c r="J88" s="29"/>
      <c r="K88" s="66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 ht="93" customHeight="1" x14ac:dyDescent="0.25">
      <c r="A89" s="70" t="s">
        <v>46</v>
      </c>
      <c r="B89" s="44" t="s">
        <v>47</v>
      </c>
      <c r="C89" s="29" t="s">
        <v>47</v>
      </c>
      <c r="D89" s="29" t="s">
        <v>233</v>
      </c>
      <c r="E89" s="29" t="s">
        <v>236</v>
      </c>
      <c r="F89" s="29" t="s">
        <v>47</v>
      </c>
      <c r="G89" s="29" t="s">
        <v>233</v>
      </c>
      <c r="H89" s="44" t="s">
        <v>237</v>
      </c>
      <c r="I89" s="29" t="s">
        <v>353</v>
      </c>
      <c r="J89" s="29" t="s">
        <v>353</v>
      </c>
      <c r="K89" s="65" t="s">
        <v>354</v>
      </c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 ht="57" x14ac:dyDescent="0.25">
      <c r="A90" s="68" t="s">
        <v>193</v>
      </c>
      <c r="B90" s="29" t="s">
        <v>167</v>
      </c>
      <c r="C90" s="29" t="s">
        <v>191</v>
      </c>
      <c r="D90" s="29" t="s">
        <v>191</v>
      </c>
      <c r="E90" s="29" t="s">
        <v>191</v>
      </c>
      <c r="F90" s="29" t="s">
        <v>191</v>
      </c>
      <c r="G90" s="29" t="s">
        <v>191</v>
      </c>
      <c r="H90" s="29" t="s">
        <v>191</v>
      </c>
      <c r="I90" s="29" t="s">
        <v>307</v>
      </c>
      <c r="J90" s="29" t="s">
        <v>310</v>
      </c>
      <c r="K90" s="67" t="s">
        <v>311</v>
      </c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 ht="57" x14ac:dyDescent="0.25">
      <c r="A91" s="68" t="s">
        <v>194</v>
      </c>
      <c r="B91" s="29" t="s">
        <v>167</v>
      </c>
      <c r="C91" s="29" t="s">
        <v>211</v>
      </c>
      <c r="D91" s="29" t="s">
        <v>211</v>
      </c>
      <c r="E91" s="29" t="s">
        <v>211</v>
      </c>
      <c r="F91" s="29" t="s">
        <v>211</v>
      </c>
      <c r="G91" s="29" t="s">
        <v>211</v>
      </c>
      <c r="H91" s="29" t="s">
        <v>211</v>
      </c>
      <c r="I91" s="29" t="s">
        <v>307</v>
      </c>
      <c r="J91" s="29" t="s">
        <v>310</v>
      </c>
      <c r="K91" s="67" t="s">
        <v>311</v>
      </c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 ht="57" x14ac:dyDescent="0.25">
      <c r="A92" s="68" t="s">
        <v>26</v>
      </c>
      <c r="B92" s="29" t="s">
        <v>168</v>
      </c>
      <c r="C92" s="29" t="s">
        <v>184</v>
      </c>
      <c r="D92" s="29" t="s">
        <v>184</v>
      </c>
      <c r="E92" s="29" t="s">
        <v>184</v>
      </c>
      <c r="F92" s="29" t="s">
        <v>184</v>
      </c>
      <c r="G92" s="29" t="s">
        <v>184</v>
      </c>
      <c r="H92" s="29" t="s">
        <v>184</v>
      </c>
      <c r="I92" s="29" t="s">
        <v>307</v>
      </c>
      <c r="J92" s="29" t="s">
        <v>310</v>
      </c>
      <c r="K92" s="67" t="s">
        <v>311</v>
      </c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 ht="28.5" x14ac:dyDescent="0.25">
      <c r="A93" s="68" t="s">
        <v>217</v>
      </c>
      <c r="B93" s="29" t="s">
        <v>170</v>
      </c>
      <c r="C93" s="29" t="s">
        <v>170</v>
      </c>
      <c r="D93" s="29" t="s">
        <v>170</v>
      </c>
      <c r="E93" s="29" t="s">
        <v>170</v>
      </c>
      <c r="F93" s="29" t="s">
        <v>170</v>
      </c>
      <c r="G93" s="29" t="s">
        <v>170</v>
      </c>
      <c r="H93" s="29" t="s">
        <v>170</v>
      </c>
      <c r="I93" s="29" t="s">
        <v>302</v>
      </c>
      <c r="J93" s="29" t="s">
        <v>302</v>
      </c>
      <c r="K93" s="65" t="s">
        <v>312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 s="27" customFormat="1" ht="28.5" x14ac:dyDescent="0.25">
      <c r="A94" s="68" t="s">
        <v>218</v>
      </c>
      <c r="B94" s="29"/>
      <c r="C94" s="29" t="s">
        <v>170</v>
      </c>
      <c r="D94" s="29" t="s">
        <v>219</v>
      </c>
      <c r="E94" s="29" t="s">
        <v>219</v>
      </c>
      <c r="F94" s="29" t="s">
        <v>170</v>
      </c>
      <c r="G94" s="29" t="s">
        <v>219</v>
      </c>
      <c r="H94" s="29" t="s">
        <v>219</v>
      </c>
      <c r="I94" s="29" t="s">
        <v>302</v>
      </c>
      <c r="J94" s="29" t="s">
        <v>302</v>
      </c>
      <c r="K94" s="65" t="s">
        <v>312</v>
      </c>
    </row>
    <row r="95" spans="1:37" ht="50.25" customHeight="1" x14ac:dyDescent="0.25">
      <c r="A95" s="68" t="s">
        <v>192</v>
      </c>
      <c r="B95" s="29" t="s">
        <v>169</v>
      </c>
      <c r="C95" s="29" t="s">
        <v>196</v>
      </c>
      <c r="D95" s="29" t="s">
        <v>196</v>
      </c>
      <c r="E95" s="29" t="s">
        <v>196</v>
      </c>
      <c r="F95" s="29" t="s">
        <v>212</v>
      </c>
      <c r="G95" s="29" t="s">
        <v>212</v>
      </c>
      <c r="H95" s="29" t="s">
        <v>196</v>
      </c>
      <c r="I95" s="29" t="s">
        <v>302</v>
      </c>
      <c r="J95" s="29" t="s">
        <v>302</v>
      </c>
      <c r="K95" s="65" t="s">
        <v>312</v>
      </c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 ht="28.5" x14ac:dyDescent="0.25">
      <c r="A96" s="68" t="s">
        <v>27</v>
      </c>
      <c r="B96" s="29" t="s">
        <v>171</v>
      </c>
      <c r="C96" s="29" t="s">
        <v>171</v>
      </c>
      <c r="D96" s="29" t="s">
        <v>171</v>
      </c>
      <c r="E96" s="29" t="s">
        <v>171</v>
      </c>
      <c r="F96" s="29" t="s">
        <v>171</v>
      </c>
      <c r="G96" s="29" t="s">
        <v>171</v>
      </c>
      <c r="H96" s="29" t="s">
        <v>171</v>
      </c>
      <c r="I96" s="29" t="s">
        <v>302</v>
      </c>
      <c r="J96" s="29" t="s">
        <v>302</v>
      </c>
      <c r="K96" s="65" t="s">
        <v>312</v>
      </c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 ht="28.5" x14ac:dyDescent="0.25">
      <c r="A97" s="68" t="s">
        <v>172</v>
      </c>
      <c r="B97" s="29" t="s">
        <v>173</v>
      </c>
      <c r="C97" s="29" t="s">
        <v>173</v>
      </c>
      <c r="D97" s="29" t="s">
        <v>173</v>
      </c>
      <c r="E97" s="29" t="s">
        <v>173</v>
      </c>
      <c r="F97" s="29" t="s">
        <v>173</v>
      </c>
      <c r="G97" s="29" t="s">
        <v>173</v>
      </c>
      <c r="H97" s="29" t="s">
        <v>173</v>
      </c>
      <c r="I97" s="29" t="s">
        <v>313</v>
      </c>
      <c r="J97" s="29" t="s">
        <v>313</v>
      </c>
      <c r="K97" s="65" t="s">
        <v>314</v>
      </c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 hidden="1" x14ac:dyDescent="0.25">
      <c r="A98" s="41" t="s">
        <v>48</v>
      </c>
      <c r="B98" s="42"/>
      <c r="C98" s="42"/>
      <c r="D98" s="42"/>
      <c r="E98" s="42"/>
      <c r="F98" s="42"/>
      <c r="G98" s="42"/>
      <c r="H98" s="42"/>
      <c r="I98" s="42"/>
      <c r="J98" s="42"/>
      <c r="K98" s="12"/>
    </row>
    <row r="99" spans="1:37" hidden="1" x14ac:dyDescent="0.25">
      <c r="A99" s="40" t="s">
        <v>49</v>
      </c>
      <c r="B99" s="38" t="s">
        <v>30</v>
      </c>
      <c r="C99" s="38" t="s">
        <v>30</v>
      </c>
      <c r="D99" s="39" t="s">
        <v>182</v>
      </c>
      <c r="E99" s="38" t="s">
        <v>182</v>
      </c>
      <c r="F99" s="38" t="s">
        <v>30</v>
      </c>
      <c r="G99" s="39" t="s">
        <v>182</v>
      </c>
      <c r="H99" s="38" t="s">
        <v>182</v>
      </c>
      <c r="I99" s="43"/>
      <c r="J99" s="43"/>
      <c r="K99" s="12"/>
    </row>
    <row r="100" spans="1:37" hidden="1" x14ac:dyDescent="0.25">
      <c r="A100" s="40" t="s">
        <v>50</v>
      </c>
      <c r="B100" s="38" t="s">
        <v>31</v>
      </c>
      <c r="C100" s="38" t="s">
        <v>31</v>
      </c>
      <c r="D100" s="39" t="s">
        <v>182</v>
      </c>
      <c r="E100" s="38" t="s">
        <v>182</v>
      </c>
      <c r="F100" s="38" t="s">
        <v>31</v>
      </c>
      <c r="G100" s="39" t="s">
        <v>182</v>
      </c>
      <c r="H100" s="38" t="s">
        <v>182</v>
      </c>
      <c r="I100" s="43"/>
      <c r="J100" s="43"/>
      <c r="K100" s="12"/>
    </row>
    <row r="101" spans="1:37" hidden="1" x14ac:dyDescent="0.25">
      <c r="A101" s="40" t="s">
        <v>51</v>
      </c>
      <c r="B101" s="38" t="s">
        <v>32</v>
      </c>
      <c r="C101" s="38" t="s">
        <v>32</v>
      </c>
      <c r="D101" s="39" t="s">
        <v>182</v>
      </c>
      <c r="E101" s="38" t="s">
        <v>182</v>
      </c>
      <c r="F101" s="38" t="s">
        <v>32</v>
      </c>
      <c r="G101" s="39" t="s">
        <v>182</v>
      </c>
      <c r="H101" s="38" t="s">
        <v>182</v>
      </c>
      <c r="I101" s="43"/>
      <c r="J101" s="43"/>
      <c r="K101" s="12"/>
    </row>
    <row r="102" spans="1:37" hidden="1" x14ac:dyDescent="0.25">
      <c r="A102" s="40" t="s">
        <v>52</v>
      </c>
      <c r="B102" s="38" t="s">
        <v>32</v>
      </c>
      <c r="C102" s="38" t="s">
        <v>32</v>
      </c>
      <c r="D102" s="39" t="s">
        <v>182</v>
      </c>
      <c r="E102" s="38" t="s">
        <v>182</v>
      </c>
      <c r="F102" s="38" t="s">
        <v>32</v>
      </c>
      <c r="G102" s="39" t="s">
        <v>182</v>
      </c>
      <c r="H102" s="38" t="s">
        <v>182</v>
      </c>
      <c r="I102" s="43"/>
      <c r="J102" s="43"/>
      <c r="K102" s="12"/>
    </row>
    <row r="103" spans="1:37" hidden="1" x14ac:dyDescent="0.25">
      <c r="A103" s="40" t="s">
        <v>53</v>
      </c>
      <c r="B103" s="38" t="s">
        <v>32</v>
      </c>
      <c r="C103" s="38" t="s">
        <v>32</v>
      </c>
      <c r="D103" s="39" t="s">
        <v>182</v>
      </c>
      <c r="E103" s="38" t="s">
        <v>182</v>
      </c>
      <c r="F103" s="38" t="s">
        <v>32</v>
      </c>
      <c r="G103" s="39" t="s">
        <v>182</v>
      </c>
      <c r="H103" s="38" t="s">
        <v>182</v>
      </c>
      <c r="I103" s="43"/>
      <c r="J103" s="43"/>
      <c r="K103" s="12"/>
    </row>
    <row r="104" spans="1:37" hidden="1" x14ac:dyDescent="0.25">
      <c r="A104" s="19" t="s">
        <v>54</v>
      </c>
      <c r="B104" s="13"/>
      <c r="C104" s="13"/>
      <c r="D104" s="29"/>
      <c r="E104" s="29"/>
      <c r="F104" s="29"/>
      <c r="G104" s="29"/>
      <c r="H104" s="13"/>
      <c r="I104" s="29"/>
      <c r="J104" s="29"/>
      <c r="K104" s="12"/>
    </row>
    <row r="105" spans="1:37" hidden="1" x14ac:dyDescent="0.25">
      <c r="A105" s="17" t="s">
        <v>33</v>
      </c>
      <c r="B105" s="13" t="s">
        <v>174</v>
      </c>
      <c r="C105" s="72" t="s">
        <v>188</v>
      </c>
      <c r="D105" s="72" t="s">
        <v>188</v>
      </c>
      <c r="E105" s="72" t="s">
        <v>188</v>
      </c>
      <c r="F105" s="72" t="s">
        <v>188</v>
      </c>
      <c r="G105" s="72" t="s">
        <v>188</v>
      </c>
      <c r="H105" s="72" t="s">
        <v>188</v>
      </c>
      <c r="I105" s="72"/>
      <c r="J105" s="72"/>
      <c r="K105" s="12"/>
    </row>
    <row r="106" spans="1:37" hidden="1" x14ac:dyDescent="0.25">
      <c r="A106" s="17" t="s">
        <v>34</v>
      </c>
      <c r="B106" s="13" t="s">
        <v>175</v>
      </c>
      <c r="C106" s="73"/>
      <c r="D106" s="73"/>
      <c r="E106" s="73"/>
      <c r="F106" s="73"/>
      <c r="G106" s="73"/>
      <c r="H106" s="73"/>
      <c r="I106" s="73"/>
      <c r="J106" s="73"/>
      <c r="K106" s="12"/>
    </row>
    <row r="107" spans="1:37" hidden="1" x14ac:dyDescent="0.25">
      <c r="A107" s="17" t="s">
        <v>35</v>
      </c>
      <c r="B107" s="13" t="s">
        <v>176</v>
      </c>
      <c r="C107" s="73"/>
      <c r="D107" s="73"/>
      <c r="E107" s="73"/>
      <c r="F107" s="73"/>
      <c r="G107" s="73"/>
      <c r="H107" s="73"/>
      <c r="I107" s="73"/>
      <c r="J107" s="73"/>
      <c r="K107" s="12"/>
    </row>
    <row r="108" spans="1:37" ht="14.25" hidden="1" x14ac:dyDescent="0.25">
      <c r="A108" s="15" t="s">
        <v>10</v>
      </c>
      <c r="B108" s="13"/>
      <c r="C108" s="13"/>
      <c r="D108" s="29"/>
      <c r="E108" s="29"/>
      <c r="F108" s="29"/>
      <c r="G108" s="29"/>
      <c r="H108" s="13"/>
      <c r="I108" s="29"/>
      <c r="J108" s="29"/>
      <c r="K108" s="12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 ht="42.75" hidden="1" x14ac:dyDescent="0.25">
      <c r="A109" s="17" t="s">
        <v>28</v>
      </c>
      <c r="B109" s="13" t="s">
        <v>177</v>
      </c>
      <c r="C109" s="13" t="s">
        <v>177</v>
      </c>
      <c r="D109" s="29" t="s">
        <v>177</v>
      </c>
      <c r="E109" s="29" t="s">
        <v>177</v>
      </c>
      <c r="F109" s="29" t="s">
        <v>177</v>
      </c>
      <c r="G109" s="29" t="s">
        <v>177</v>
      </c>
      <c r="H109" s="13" t="s">
        <v>177</v>
      </c>
      <c r="I109" s="29"/>
      <c r="J109" s="29"/>
      <c r="K109" s="12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 s="5" customFormat="1" hidden="1" x14ac:dyDescent="0.25">
      <c r="A110" s="17" t="s">
        <v>178</v>
      </c>
      <c r="B110" s="13" t="s">
        <v>179</v>
      </c>
      <c r="C110" s="13" t="s">
        <v>179</v>
      </c>
      <c r="D110" s="29" t="s">
        <v>179</v>
      </c>
      <c r="E110" s="29" t="s">
        <v>179</v>
      </c>
      <c r="F110" s="29" t="s">
        <v>179</v>
      </c>
      <c r="G110" s="29" t="s">
        <v>179</v>
      </c>
      <c r="H110" s="13" t="s">
        <v>179</v>
      </c>
      <c r="I110" s="29"/>
      <c r="J110" s="29"/>
      <c r="K110" s="1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 hidden="1" x14ac:dyDescent="0.25">
      <c r="A111" s="17" t="s">
        <v>180</v>
      </c>
      <c r="B111" s="13" t="s">
        <v>181</v>
      </c>
      <c r="C111" s="13" t="s">
        <v>181</v>
      </c>
      <c r="D111" s="29" t="s">
        <v>181</v>
      </c>
      <c r="E111" s="29" t="s">
        <v>181</v>
      </c>
      <c r="F111" s="29" t="s">
        <v>181</v>
      </c>
      <c r="G111" s="29" t="s">
        <v>181</v>
      </c>
      <c r="H111" s="13" t="s">
        <v>181</v>
      </c>
      <c r="I111" s="29"/>
      <c r="J111" s="29"/>
      <c r="K111" s="12"/>
    </row>
    <row r="112" spans="1:37" ht="39" customHeight="1" x14ac:dyDescent="0.25"/>
    <row r="133" ht="13.5" customHeight="1" x14ac:dyDescent="0.25"/>
  </sheetData>
  <mergeCells count="13">
    <mergeCell ref="C105:C107"/>
    <mergeCell ref="K3:K4"/>
    <mergeCell ref="K13:K14"/>
    <mergeCell ref="K29:K30"/>
    <mergeCell ref="K70:K71"/>
    <mergeCell ref="H105:H107"/>
    <mergeCell ref="K64:K69"/>
    <mergeCell ref="E105:E107"/>
    <mergeCell ref="F105:F107"/>
    <mergeCell ref="D105:D107"/>
    <mergeCell ref="G105:G107"/>
    <mergeCell ref="I105:I107"/>
    <mergeCell ref="J105:J107"/>
  </mergeCells>
  <pageMargins left="0.25" right="0.25" top="0.75" bottom="0.75" header="0.3" footer="0.3"/>
  <pageSetup scale="1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1"/>
  <sheetViews>
    <sheetView topLeftCell="A2" workbookViewId="0">
      <selection activeCell="P24" sqref="P24"/>
    </sheetView>
  </sheetViews>
  <sheetFormatPr defaultRowHeight="15" x14ac:dyDescent="0.25"/>
  <cols>
    <col min="1" max="1" width="8.42578125" style="26" customWidth="1"/>
    <col min="3" max="3" width="5.140625" customWidth="1"/>
    <col min="5" max="5" width="2.140625" style="26" customWidth="1"/>
    <col min="8" max="8" width="12.85546875" customWidth="1"/>
    <col min="13" max="13" width="5.5703125" customWidth="1"/>
    <col min="18" max="18" width="14.42578125" customWidth="1"/>
  </cols>
  <sheetData>
    <row r="2" spans="2:18" ht="15.75" thickBot="1" x14ac:dyDescent="0.3"/>
    <row r="3" spans="2:18" ht="15.75" thickBot="1" x14ac:dyDescent="0.3">
      <c r="B3" s="107"/>
      <c r="C3" s="106" t="s">
        <v>341</v>
      </c>
      <c r="D3" s="100"/>
      <c r="E3" s="101"/>
      <c r="L3" s="105"/>
      <c r="M3" s="106" t="s">
        <v>342</v>
      </c>
      <c r="N3" s="101"/>
      <c r="O3" s="26"/>
      <c r="P3" s="26"/>
      <c r="Q3" s="26"/>
      <c r="R3" s="26"/>
    </row>
    <row r="4" spans="2:18" s="26" customFormat="1" x14ac:dyDescent="0.25">
      <c r="C4" s="89"/>
      <c r="M4" s="89"/>
    </row>
    <row r="5" spans="2:18" s="26" customFormat="1" x14ac:dyDescent="0.25">
      <c r="C5" s="6"/>
      <c r="F5" s="95"/>
      <c r="L5" s="6"/>
      <c r="M5" s="6"/>
      <c r="N5" s="6"/>
    </row>
    <row r="6" spans="2:18" x14ac:dyDescent="0.25">
      <c r="C6" s="84"/>
      <c r="F6" s="91" t="s">
        <v>347</v>
      </c>
      <c r="L6" s="84"/>
      <c r="M6" s="84"/>
      <c r="N6" s="84"/>
      <c r="O6" s="26"/>
      <c r="P6" s="91" t="s">
        <v>347</v>
      </c>
      <c r="Q6" s="26"/>
      <c r="R6" s="26"/>
    </row>
    <row r="7" spans="2:18" ht="7.5" customHeight="1" x14ac:dyDescent="0.25">
      <c r="C7" s="84"/>
      <c r="F7" s="91"/>
      <c r="L7" s="84"/>
      <c r="M7" s="84"/>
      <c r="N7" s="84"/>
      <c r="O7" s="26"/>
      <c r="P7" s="91"/>
      <c r="Q7" s="26"/>
      <c r="R7" s="26"/>
    </row>
    <row r="8" spans="2:18" ht="30" customHeight="1" x14ac:dyDescent="0.25">
      <c r="C8" s="84"/>
      <c r="F8" s="91"/>
      <c r="L8" s="84"/>
      <c r="M8" s="84"/>
      <c r="N8" s="84"/>
      <c r="O8" s="26"/>
      <c r="P8" s="91"/>
      <c r="Q8" s="26"/>
      <c r="R8" s="26"/>
    </row>
    <row r="9" spans="2:18" s="26" customFormat="1" ht="12" customHeight="1" x14ac:dyDescent="0.25">
      <c r="C9" s="84"/>
      <c r="F9" s="91"/>
      <c r="L9" s="84"/>
      <c r="M9" s="84"/>
      <c r="N9" s="84"/>
      <c r="P9" s="91"/>
    </row>
    <row r="10" spans="2:18" ht="8.25" customHeight="1" thickBot="1" x14ac:dyDescent="0.3">
      <c r="C10" s="87"/>
      <c r="F10" s="88" t="s">
        <v>352</v>
      </c>
      <c r="L10" s="87"/>
      <c r="M10" s="87"/>
      <c r="N10" s="87"/>
      <c r="O10" s="26"/>
      <c r="P10" s="88" t="s">
        <v>352</v>
      </c>
      <c r="Q10" s="26"/>
      <c r="R10" s="26"/>
    </row>
    <row r="11" spans="2:18" ht="7.5" customHeight="1" x14ac:dyDescent="0.25">
      <c r="C11" s="86"/>
      <c r="F11" s="88" t="s">
        <v>339</v>
      </c>
      <c r="H11" s="96" t="s">
        <v>340</v>
      </c>
      <c r="L11" s="26"/>
      <c r="M11" s="86"/>
      <c r="N11" s="26"/>
      <c r="O11" s="26"/>
      <c r="P11" s="88" t="s">
        <v>339</v>
      </c>
      <c r="Q11" s="26"/>
      <c r="R11" s="96" t="s">
        <v>340</v>
      </c>
    </row>
    <row r="12" spans="2:18" ht="11.25" customHeight="1" thickBot="1" x14ac:dyDescent="0.3">
      <c r="C12" s="92"/>
      <c r="F12" s="88" t="s">
        <v>338</v>
      </c>
      <c r="H12" s="97"/>
      <c r="L12" s="26"/>
      <c r="M12" s="92"/>
      <c r="N12" s="26"/>
      <c r="O12" s="26"/>
      <c r="P12" s="88" t="s">
        <v>338</v>
      </c>
      <c r="Q12" s="26"/>
      <c r="R12" s="97"/>
    </row>
    <row r="13" spans="2:18" x14ac:dyDescent="0.25">
      <c r="C13" s="98" t="s">
        <v>343</v>
      </c>
      <c r="F13" s="90" t="s">
        <v>364</v>
      </c>
      <c r="L13" s="26"/>
      <c r="M13" s="98" t="s">
        <v>343</v>
      </c>
      <c r="N13" s="26"/>
      <c r="O13" s="26"/>
      <c r="P13" s="90" t="s">
        <v>364</v>
      </c>
      <c r="Q13" s="26"/>
      <c r="R13" s="26"/>
    </row>
    <row r="14" spans="2:18" ht="15.75" thickBot="1" x14ac:dyDescent="0.3">
      <c r="C14" s="99"/>
      <c r="F14" s="90"/>
      <c r="L14" s="26"/>
      <c r="M14" s="99"/>
      <c r="N14" s="26"/>
      <c r="O14" s="26"/>
      <c r="P14" s="90"/>
      <c r="Q14" s="26"/>
      <c r="R14" s="26"/>
    </row>
    <row r="15" spans="2:18" ht="17.25" customHeight="1" x14ac:dyDescent="0.25">
      <c r="C15" s="86"/>
      <c r="F15" s="88" t="s">
        <v>349</v>
      </c>
      <c r="H15" s="96" t="s">
        <v>336</v>
      </c>
      <c r="L15" s="26"/>
      <c r="M15" s="86"/>
      <c r="N15" s="26"/>
      <c r="O15" s="26"/>
      <c r="P15" s="88" t="s">
        <v>349</v>
      </c>
      <c r="Q15" s="26"/>
      <c r="R15" s="96" t="s">
        <v>336</v>
      </c>
    </row>
    <row r="16" spans="2:18" ht="7.5" customHeight="1" thickBot="1" x14ac:dyDescent="0.3">
      <c r="C16" s="92"/>
      <c r="F16" s="88" t="s">
        <v>335</v>
      </c>
      <c r="H16" s="97"/>
      <c r="L16" s="26"/>
      <c r="M16" s="92"/>
      <c r="N16" s="26"/>
      <c r="O16" s="26"/>
      <c r="P16" s="88" t="s">
        <v>335</v>
      </c>
      <c r="Q16" s="26"/>
      <c r="R16" s="97"/>
    </row>
    <row r="17" spans="2:18" x14ac:dyDescent="0.25">
      <c r="C17" s="93" t="s">
        <v>344</v>
      </c>
      <c r="F17" s="90" t="s">
        <v>337</v>
      </c>
      <c r="L17" s="26"/>
      <c r="M17" s="93" t="s">
        <v>344</v>
      </c>
      <c r="N17" s="26"/>
      <c r="O17" s="26"/>
      <c r="P17" s="90" t="s">
        <v>337</v>
      </c>
      <c r="Q17" s="26"/>
      <c r="R17" s="26"/>
    </row>
    <row r="18" spans="2:18" x14ac:dyDescent="0.25">
      <c r="C18" s="93"/>
      <c r="F18" s="90"/>
      <c r="L18" s="26"/>
      <c r="M18" s="93"/>
      <c r="N18" s="26"/>
      <c r="O18" s="26"/>
      <c r="P18" s="90"/>
      <c r="Q18" s="26"/>
      <c r="R18" s="26"/>
    </row>
    <row r="19" spans="2:18" s="26" customFormat="1" ht="14.25" customHeight="1" x14ac:dyDescent="0.25">
      <c r="C19" s="92"/>
      <c r="F19" s="88" t="s">
        <v>334</v>
      </c>
      <c r="M19" s="92"/>
      <c r="P19" s="88" t="s">
        <v>334</v>
      </c>
    </row>
    <row r="20" spans="2:18" ht="7.5" customHeight="1" x14ac:dyDescent="0.25">
      <c r="C20" s="86"/>
      <c r="F20" s="88" t="s">
        <v>333</v>
      </c>
      <c r="L20" s="26"/>
      <c r="M20" s="86"/>
      <c r="N20" s="26"/>
      <c r="O20" s="26"/>
      <c r="P20" s="88" t="s">
        <v>333</v>
      </c>
      <c r="Q20" s="26"/>
      <c r="R20" s="26"/>
    </row>
    <row r="21" spans="2:18" s="26" customFormat="1" ht="7.5" customHeight="1" x14ac:dyDescent="0.25">
      <c r="B21" s="87"/>
      <c r="C21" s="87"/>
      <c r="D21" s="87"/>
      <c r="F21" s="88" t="s">
        <v>348</v>
      </c>
      <c r="L21" s="6"/>
      <c r="M21" s="87"/>
      <c r="N21" s="6"/>
      <c r="P21" s="88" t="s">
        <v>348</v>
      </c>
    </row>
    <row r="22" spans="2:18" x14ac:dyDescent="0.25">
      <c r="B22" s="84"/>
      <c r="C22" s="84"/>
      <c r="D22" s="84"/>
      <c r="E22" s="6"/>
      <c r="F22" s="91" t="s">
        <v>332</v>
      </c>
      <c r="G22" s="6"/>
      <c r="L22" s="6"/>
      <c r="M22" s="84"/>
      <c r="N22" s="6"/>
      <c r="O22" s="6"/>
      <c r="P22" s="91" t="s">
        <v>332</v>
      </c>
      <c r="Q22" s="6"/>
      <c r="R22" s="26"/>
    </row>
    <row r="23" spans="2:18" ht="9" customHeight="1" x14ac:dyDescent="0.25">
      <c r="B23" s="84"/>
      <c r="C23" s="84"/>
      <c r="D23" s="84"/>
      <c r="E23" s="6"/>
      <c r="F23" s="91"/>
      <c r="G23" s="6"/>
      <c r="L23" s="6"/>
      <c r="M23" s="84"/>
      <c r="N23" s="6"/>
      <c r="O23" s="6"/>
      <c r="P23" s="91"/>
      <c r="Q23" s="6"/>
      <c r="R23" s="26"/>
    </row>
    <row r="25" spans="2:18" x14ac:dyDescent="0.25">
      <c r="B25" s="94" t="s">
        <v>356</v>
      </c>
    </row>
    <row r="27" spans="2:18" s="26" customFormat="1" x14ac:dyDescent="0.25"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  <row r="28" spans="2:18" x14ac:dyDescent="0.25">
      <c r="B28" s="94" t="s">
        <v>357</v>
      </c>
      <c r="G28" s="85">
        <f>(55+4+2+8+4+40+17+17+7+3+2.5)/14</f>
        <v>11.392857142857142</v>
      </c>
      <c r="I28" t="s">
        <v>346</v>
      </c>
      <c r="K28" s="26">
        <f>(55+10+5+4+40+17+17+7+3+2.5)/21</f>
        <v>7.6428571428571432</v>
      </c>
    </row>
    <row r="29" spans="2:18" x14ac:dyDescent="0.25">
      <c r="B29" s="94" t="s">
        <v>345</v>
      </c>
    </row>
    <row r="30" spans="2:18" x14ac:dyDescent="0.25">
      <c r="B30" s="94" t="s">
        <v>361</v>
      </c>
    </row>
    <row r="31" spans="2:18" x14ac:dyDescent="0.25">
      <c r="B31" s="94" t="s">
        <v>362</v>
      </c>
    </row>
  </sheetData>
  <mergeCells count="16">
    <mergeCell ref="P22:P23"/>
    <mergeCell ref="C13:C14"/>
    <mergeCell ref="C17:C18"/>
    <mergeCell ref="P6:P9"/>
    <mergeCell ref="F6:F9"/>
    <mergeCell ref="M13:M14"/>
    <mergeCell ref="M17:M18"/>
    <mergeCell ref="R11:R12"/>
    <mergeCell ref="P13:P14"/>
    <mergeCell ref="R15:R16"/>
    <mergeCell ref="P17:P18"/>
    <mergeCell ref="F22:F23"/>
    <mergeCell ref="F17:F18"/>
    <mergeCell ref="F13:F14"/>
    <mergeCell ref="H11:H12"/>
    <mergeCell ref="H15:H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L52"/>
  <sheetViews>
    <sheetView workbookViewId="0">
      <selection activeCell="B8" sqref="B8"/>
    </sheetView>
  </sheetViews>
  <sheetFormatPr defaultColWidth="8.85546875" defaultRowHeight="15" x14ac:dyDescent="0.25"/>
  <cols>
    <col min="1" max="5" width="8.85546875" style="26"/>
    <col min="6" max="6" width="33.5703125" style="26" customWidth="1"/>
    <col min="7" max="8" width="14.7109375" style="26" customWidth="1"/>
    <col min="9" max="9" width="19.7109375" style="26" customWidth="1"/>
    <col min="10" max="10" width="20.28515625" style="26" customWidth="1"/>
    <col min="11" max="11" width="21.140625" style="26" hidden="1" customWidth="1"/>
    <col min="12" max="16384" width="8.85546875" style="26"/>
  </cols>
  <sheetData>
    <row r="3" spans="6:12" ht="25.5" customHeight="1" x14ac:dyDescent="0.25">
      <c r="F3" s="1"/>
      <c r="G3" s="1"/>
      <c r="H3" s="1"/>
      <c r="I3" s="1"/>
      <c r="J3" s="1"/>
    </row>
    <row r="4" spans="6:12" ht="90" x14ac:dyDescent="0.25">
      <c r="F4" s="64" t="s">
        <v>301</v>
      </c>
      <c r="G4" s="62" t="s">
        <v>300</v>
      </c>
      <c r="H4" s="61" t="s">
        <v>299</v>
      </c>
      <c r="I4" s="63" t="s">
        <v>298</v>
      </c>
      <c r="J4" s="62" t="s">
        <v>297</v>
      </c>
      <c r="K4" s="61" t="s">
        <v>296</v>
      </c>
      <c r="L4" s="62" t="s">
        <v>309</v>
      </c>
    </row>
    <row r="5" spans="6:12" hidden="1" x14ac:dyDescent="0.25">
      <c r="F5" s="50" t="s">
        <v>295</v>
      </c>
      <c r="G5" s="45">
        <v>8192</v>
      </c>
      <c r="H5" s="49">
        <v>8192</v>
      </c>
      <c r="I5" s="50">
        <v>8192</v>
      </c>
      <c r="J5" s="45">
        <v>8192</v>
      </c>
      <c r="K5" s="49">
        <v>8192</v>
      </c>
    </row>
    <row r="6" spans="6:12" hidden="1" x14ac:dyDescent="0.25">
      <c r="F6" s="50" t="s">
        <v>294</v>
      </c>
      <c r="G6" s="45">
        <v>8192</v>
      </c>
      <c r="H6" s="49">
        <v>8192</v>
      </c>
      <c r="I6" s="50">
        <v>8192</v>
      </c>
      <c r="J6" s="45">
        <f>8192*2</f>
        <v>16384</v>
      </c>
      <c r="K6" s="49">
        <f>8192*2</f>
        <v>16384</v>
      </c>
    </row>
    <row r="7" spans="6:12" x14ac:dyDescent="0.25">
      <c r="F7" s="50" t="s">
        <v>293</v>
      </c>
      <c r="G7" s="45">
        <v>30000</v>
      </c>
      <c r="H7" s="49">
        <v>30000</v>
      </c>
      <c r="I7" s="50">
        <v>60000</v>
      </c>
      <c r="J7" s="45">
        <v>48000</v>
      </c>
      <c r="K7" s="49">
        <v>48000</v>
      </c>
      <c r="L7" s="26" t="s">
        <v>308</v>
      </c>
    </row>
    <row r="8" spans="6:12" x14ac:dyDescent="0.25">
      <c r="F8" s="50" t="s">
        <v>292</v>
      </c>
      <c r="G8" s="45">
        <v>7500</v>
      </c>
      <c r="H8" s="49">
        <v>7500</v>
      </c>
      <c r="I8" s="50">
        <v>15000</v>
      </c>
      <c r="J8" s="45">
        <v>15000</v>
      </c>
      <c r="K8" s="49">
        <v>15000</v>
      </c>
    </row>
    <row r="9" spans="6:12" x14ac:dyDescent="0.25">
      <c r="F9" s="50" t="s">
        <v>291</v>
      </c>
      <c r="G9" s="45">
        <v>10000</v>
      </c>
      <c r="H9" s="49">
        <v>10000</v>
      </c>
      <c r="I9" s="50">
        <v>20000</v>
      </c>
      <c r="J9" s="45">
        <v>32000</v>
      </c>
      <c r="K9" s="49">
        <v>32000</v>
      </c>
    </row>
    <row r="10" spans="6:12" x14ac:dyDescent="0.25">
      <c r="F10" s="50" t="s">
        <v>290</v>
      </c>
      <c r="G10" s="45">
        <v>10000</v>
      </c>
      <c r="H10" s="49">
        <v>10000</v>
      </c>
      <c r="I10" s="50">
        <v>25000</v>
      </c>
      <c r="J10" s="45">
        <v>15000</v>
      </c>
      <c r="K10" s="49">
        <v>15000</v>
      </c>
    </row>
    <row r="11" spans="6:12" x14ac:dyDescent="0.25">
      <c r="F11" s="60" t="s">
        <v>289</v>
      </c>
      <c r="G11" s="59">
        <v>4.8099999999999996</v>
      </c>
      <c r="H11" s="58">
        <v>4.3099999999999996</v>
      </c>
      <c r="I11" s="60">
        <v>4.3099999999999996</v>
      </c>
      <c r="J11" s="59">
        <v>4.3099999999999996</v>
      </c>
      <c r="K11" s="58">
        <v>4.3</v>
      </c>
    </row>
    <row r="12" spans="6:12" x14ac:dyDescent="0.25">
      <c r="F12" s="50" t="s">
        <v>288</v>
      </c>
      <c r="G12" s="45">
        <v>1.38</v>
      </c>
      <c r="H12" s="49">
        <v>1.38</v>
      </c>
      <c r="I12" s="50">
        <v>1.38</v>
      </c>
      <c r="J12" s="45">
        <v>1.38</v>
      </c>
      <c r="K12" s="49">
        <v>1.4</v>
      </c>
    </row>
    <row r="13" spans="6:12" x14ac:dyDescent="0.25">
      <c r="F13" s="50" t="s">
        <v>287</v>
      </c>
      <c r="G13" s="45">
        <f>G$11+G$12</f>
        <v>6.1899999999999995</v>
      </c>
      <c r="H13" s="49">
        <f>H$11+H$12</f>
        <v>5.6899999999999995</v>
      </c>
      <c r="I13" s="50">
        <f>I$11+I$12</f>
        <v>5.6899999999999995</v>
      </c>
      <c r="J13" s="45">
        <f>J$11+J$12</f>
        <v>5.6899999999999995</v>
      </c>
      <c r="K13" s="49">
        <f>K$11+K$12</f>
        <v>5.6999999999999993</v>
      </c>
    </row>
    <row r="14" spans="6:12" x14ac:dyDescent="0.25">
      <c r="F14" s="51" t="s">
        <v>286</v>
      </c>
      <c r="G14" s="57">
        <f>G$11+5*G$17+G$23</f>
        <v>5.4849999999999994</v>
      </c>
      <c r="H14" s="56">
        <f>H$11+5*H$17+H$23</f>
        <v>4.9849999999999994</v>
      </c>
      <c r="I14" s="51">
        <f>I$11+5*I$17+I$23</f>
        <v>4.9849999999999994</v>
      </c>
      <c r="J14" s="57">
        <f>J$11+5*J$17+J$23</f>
        <v>4.9849999999999994</v>
      </c>
      <c r="K14" s="56">
        <f>K$11+5*K$17+K$23</f>
        <v>5</v>
      </c>
    </row>
    <row r="15" spans="6:12" x14ac:dyDescent="0.25">
      <c r="F15" s="50" t="s">
        <v>285</v>
      </c>
      <c r="G15" s="45">
        <f>G$13+5*G$17+G$24</f>
        <v>7.2649999999999988</v>
      </c>
      <c r="H15" s="49">
        <f>H$13+5*H$17+H$24</f>
        <v>6.7649999999999988</v>
      </c>
      <c r="I15" s="50">
        <f>I$13+5*I$17+I$24</f>
        <v>6.7649999999999988</v>
      </c>
      <c r="J15" s="45">
        <f>J$13+5*J$17+J$24</f>
        <v>6.7649999999999988</v>
      </c>
      <c r="K15" s="49">
        <f>K$13+5*K$17+K$24</f>
        <v>6.7999999999999989</v>
      </c>
    </row>
    <row r="16" spans="6:12" x14ac:dyDescent="0.25">
      <c r="F16" s="50" t="s">
        <v>284</v>
      </c>
      <c r="G16" s="45">
        <v>3.6</v>
      </c>
      <c r="H16" s="49">
        <v>3.2</v>
      </c>
      <c r="I16" s="50">
        <v>3.2</v>
      </c>
      <c r="J16" s="45">
        <v>3.15</v>
      </c>
      <c r="K16" s="49">
        <v>3.3</v>
      </c>
    </row>
    <row r="17" spans="6:11" x14ac:dyDescent="0.25">
      <c r="F17" s="50" t="s">
        <v>283</v>
      </c>
      <c r="G17" s="45">
        <v>9.5000000000000001E-2</v>
      </c>
      <c r="H17" s="45">
        <v>9.5000000000000001E-2</v>
      </c>
      <c r="I17" s="45">
        <v>9.5000000000000001E-2</v>
      </c>
      <c r="J17" s="45">
        <v>9.5000000000000001E-2</v>
      </c>
      <c r="K17" s="49">
        <v>0.1</v>
      </c>
    </row>
    <row r="18" spans="6:11" x14ac:dyDescent="0.25">
      <c r="F18" s="50" t="s">
        <v>282</v>
      </c>
      <c r="G18" s="45">
        <v>0.8</v>
      </c>
      <c r="H18" s="49">
        <v>0.8</v>
      </c>
      <c r="I18" s="50">
        <v>0.8</v>
      </c>
      <c r="J18" s="45">
        <v>0.8</v>
      </c>
      <c r="K18" s="49">
        <v>0.8</v>
      </c>
    </row>
    <row r="19" spans="6:11" x14ac:dyDescent="0.25">
      <c r="F19" s="50" t="s">
        <v>281</v>
      </c>
      <c r="G19" s="45">
        <f>INT(G$16/G$11*100)/100</f>
        <v>0.74</v>
      </c>
      <c r="H19" s="49">
        <f>INT(H$16/H$11*100)/100</f>
        <v>0.74</v>
      </c>
      <c r="I19" s="50">
        <f>INT(I$16/I$11*100)/100</f>
        <v>0.74</v>
      </c>
      <c r="J19" s="45">
        <f>INT(J$16/J$11*100)/100</f>
        <v>0.73</v>
      </c>
      <c r="K19" s="49">
        <f>INT(K$16/K$11*100)/100</f>
        <v>0.76</v>
      </c>
    </row>
    <row r="20" spans="6:11" x14ac:dyDescent="0.25">
      <c r="F20" s="50" t="s">
        <v>29</v>
      </c>
      <c r="G20" s="54">
        <v>1.9999999999999999E-7</v>
      </c>
      <c r="H20" s="53">
        <v>1.9999999999999999E-7</v>
      </c>
      <c r="I20" s="55">
        <v>9.9999999999999995E-8</v>
      </c>
      <c r="J20" s="54">
        <v>9.9999999999999995E-8</v>
      </c>
      <c r="K20" s="53">
        <v>2E-8</v>
      </c>
    </row>
    <row r="21" spans="6:11" ht="24.6" customHeight="1" x14ac:dyDescent="0.25">
      <c r="F21" s="50" t="s">
        <v>280</v>
      </c>
      <c r="G21" s="45">
        <f t="shared" ref="G21:K22" si="0">G$20*10^((G$19-1)/0.157)</f>
        <v>4.415491369677293E-9</v>
      </c>
      <c r="H21" s="49">
        <f t="shared" si="0"/>
        <v>4.415491369677293E-9</v>
      </c>
      <c r="I21" s="50">
        <f t="shared" si="0"/>
        <v>2.2077456848386465E-9</v>
      </c>
      <c r="J21" s="45">
        <f t="shared" si="0"/>
        <v>1.9065788765992473E-9</v>
      </c>
      <c r="K21" s="49">
        <f t="shared" si="0"/>
        <v>5.9206252812782611E-10</v>
      </c>
    </row>
    <row r="22" spans="6:11" ht="29.45" customHeight="1" x14ac:dyDescent="0.25">
      <c r="F22" s="50" t="s">
        <v>279</v>
      </c>
      <c r="G22" s="45">
        <f t="shared" si="0"/>
        <v>4.415491369677293E-9</v>
      </c>
      <c r="H22" s="49">
        <f t="shared" si="0"/>
        <v>4.415491369677293E-9</v>
      </c>
      <c r="I22" s="50">
        <f t="shared" si="0"/>
        <v>2.2077456848386465E-9</v>
      </c>
      <c r="J22" s="45">
        <f t="shared" si="0"/>
        <v>1.9065788765992473E-9</v>
      </c>
      <c r="K22" s="49">
        <f t="shared" si="0"/>
        <v>5.9206252812782611E-10</v>
      </c>
    </row>
    <row r="23" spans="6:11" x14ac:dyDescent="0.25">
      <c r="F23" s="50" t="s">
        <v>278</v>
      </c>
      <c r="G23" s="45">
        <v>0.2</v>
      </c>
      <c r="H23" s="49">
        <v>0.2</v>
      </c>
      <c r="I23" s="50">
        <v>0.2</v>
      </c>
      <c r="J23" s="45">
        <v>0.2</v>
      </c>
      <c r="K23" s="49">
        <v>0.2</v>
      </c>
    </row>
    <row r="24" spans="6:11" x14ac:dyDescent="0.25">
      <c r="F24" s="50" t="s">
        <v>277</v>
      </c>
      <c r="G24" s="45">
        <v>0.6</v>
      </c>
      <c r="H24" s="49">
        <v>0.6</v>
      </c>
      <c r="I24" s="50">
        <v>0.6</v>
      </c>
      <c r="J24" s="45">
        <v>0.6</v>
      </c>
      <c r="K24" s="49">
        <v>0.6</v>
      </c>
    </row>
    <row r="25" spans="6:11" x14ac:dyDescent="0.25">
      <c r="F25" s="50" t="s">
        <v>276</v>
      </c>
      <c r="G25" s="45">
        <v>0.1</v>
      </c>
      <c r="H25" s="49">
        <v>0.1</v>
      </c>
      <c r="I25" s="50">
        <v>0.1</v>
      </c>
      <c r="J25" s="45">
        <v>0.1</v>
      </c>
      <c r="K25" s="49">
        <v>0.1</v>
      </c>
    </row>
    <row r="26" spans="6:11" x14ac:dyDescent="0.25">
      <c r="F26" s="51" t="s">
        <v>275</v>
      </c>
      <c r="G26" s="45"/>
      <c r="H26" s="49"/>
      <c r="I26" s="50"/>
      <c r="J26" s="45"/>
      <c r="K26" s="49"/>
    </row>
    <row r="27" spans="6:11" x14ac:dyDescent="0.25">
      <c r="F27" s="52" t="s">
        <v>274</v>
      </c>
      <c r="G27" s="45">
        <v>0.1</v>
      </c>
      <c r="H27" s="49">
        <v>0.1</v>
      </c>
      <c r="I27" s="50">
        <v>0.1</v>
      </c>
      <c r="J27" s="45">
        <v>0.1</v>
      </c>
      <c r="K27" s="49">
        <v>0.1</v>
      </c>
    </row>
    <row r="28" spans="6:11" x14ac:dyDescent="0.25">
      <c r="F28" s="50" t="s">
        <v>260</v>
      </c>
      <c r="G28" s="45">
        <f>INT(G$21*G$7*G$5/(2*2*2)*1000*0.6)/1000</f>
        <v>8.1000000000000003E-2</v>
      </c>
      <c r="H28" s="49">
        <f>INT(H$21*H$7*H$5/(2*2*2)*1000*0.6)/1000</f>
        <v>8.1000000000000003E-2</v>
      </c>
      <c r="I28" s="50">
        <f>INT(I$21*I$7*I$5/(2*2*2)*1000*0.6)/1000</f>
        <v>8.1000000000000003E-2</v>
      </c>
      <c r="J28" s="45">
        <f>INT(J$21*J$7*J$5/(2*2*2)*1000*0.6)/1000</f>
        <v>5.6000000000000001E-2</v>
      </c>
      <c r="K28" s="49">
        <f>INT(K$21*K$7*K$5/(2*2*2)*1000*0.6)/1000</f>
        <v>1.7000000000000001E-2</v>
      </c>
    </row>
    <row r="29" spans="6:11" x14ac:dyDescent="0.25">
      <c r="F29" s="50" t="s">
        <v>259</v>
      </c>
      <c r="G29" s="45">
        <f>INT(G$8*G$21*G$5*1000*0.6)/1000</f>
        <v>0.16200000000000001</v>
      </c>
      <c r="H29" s="49">
        <f>INT(H$8*H$21*H$5*1000*0.6)/1000</f>
        <v>0.16200000000000001</v>
      </c>
      <c r="I29" s="50">
        <f>INT(I$8*I$21*I$5*1000*0.6)/1000</f>
        <v>0.16200000000000001</v>
      </c>
      <c r="J29" s="45">
        <f>INT(J$8*J$21*J$5*1000*0.6)/1000</f>
        <v>0.14000000000000001</v>
      </c>
      <c r="K29" s="49">
        <f>INT(K$8*K$21*K$5*1000*0.6)/1000</f>
        <v>4.2999999999999997E-2</v>
      </c>
    </row>
    <row r="30" spans="6:11" x14ac:dyDescent="0.25">
      <c r="F30" s="50" t="s">
        <v>258</v>
      </c>
      <c r="G30" s="45">
        <f>INT(G$22*G$6*G$9/(2*2)*1000*0.6)/1000</f>
        <v>5.3999999999999999E-2</v>
      </c>
      <c r="H30" s="49">
        <f>INT(H$22*H$6*H$9/(2*2)*1000*0.6)/1000</f>
        <v>5.3999999999999999E-2</v>
      </c>
      <c r="I30" s="50">
        <f>INT(I$22*I$6*I$9/(2*2)*1000*0.6)/1000</f>
        <v>5.3999999999999999E-2</v>
      </c>
      <c r="J30" s="45">
        <f>INT(J$22*J$6*J$9/(2*2)*1000*0.6)/1000</f>
        <v>0.14899999999999999</v>
      </c>
      <c r="K30" s="49">
        <f>INT(K$22*K$6*K$9/(2*2)*1000*0.6)/1000</f>
        <v>4.5999999999999999E-2</v>
      </c>
    </row>
    <row r="31" spans="6:11" x14ac:dyDescent="0.25">
      <c r="F31" s="50" t="s">
        <v>257</v>
      </c>
      <c r="G31" s="45">
        <f>INT(G$22*G$6*G$10*0.6*1000)/1000</f>
        <v>0.217</v>
      </c>
      <c r="H31" s="49">
        <f>INT(H$22*H$6*H$10*0.6*1000)/1000</f>
        <v>0.217</v>
      </c>
      <c r="I31" s="50">
        <f>INT(I$22*I$6*I$10*0.6*1000)/1000</f>
        <v>0.27100000000000002</v>
      </c>
      <c r="J31" s="45">
        <f>INT(J$22*J$6*J$10*0.6*1000)/1000</f>
        <v>0.28100000000000003</v>
      </c>
      <c r="K31" s="49">
        <f>INT(K$22*K$6*K$10*0.6*1000)/1000</f>
        <v>8.6999999999999994E-2</v>
      </c>
    </row>
    <row r="32" spans="6:11" x14ac:dyDescent="0.25">
      <c r="F32" s="50" t="s">
        <v>273</v>
      </c>
      <c r="G32" s="45">
        <f>G$11-5*G$17-G$16-G$30/2-G$31-G$27</f>
        <v>0.3909999999999999</v>
      </c>
      <c r="H32" s="49">
        <f>H$11-5*H$17-H$16-H$30/2-H$31-H$27</f>
        <v>0.29099999999999937</v>
      </c>
      <c r="I32" s="50">
        <f>I$11-5*I$17-I$16-I$30/2-I$31-I$27</f>
        <v>0.23699999999999929</v>
      </c>
      <c r="J32" s="45">
        <f>J$11-5*J$17-J$16-J$30/2-J$31-J$27</f>
        <v>0.22949999999999957</v>
      </c>
      <c r="K32" s="49">
        <f>K$11-5*K$17-K$16-K$30/2-K$31-K$27</f>
        <v>0.29000000000000004</v>
      </c>
    </row>
    <row r="33" spans="6:11" x14ac:dyDescent="0.25">
      <c r="F33" s="50" t="s">
        <v>272</v>
      </c>
      <c r="G33" s="45">
        <f>2*G$16+G$18-G$15-(G$28/2+G$30/2)</f>
        <v>0.6675000000000012</v>
      </c>
      <c r="H33" s="49">
        <f>2*H$16+H$18-H$15-(H$28/2+H$30/2)</f>
        <v>0.36750000000000138</v>
      </c>
      <c r="I33" s="50">
        <f>2*I$16+I$18-I$15-(I$28/2+I$30/2)</f>
        <v>0.36750000000000138</v>
      </c>
      <c r="J33" s="45">
        <f>2*J$16+J$18-J$15-(J$28/2+J$30/2)</f>
        <v>0.23250000000000087</v>
      </c>
      <c r="K33" s="49">
        <f>2*K$16+K$18-K$15-(K$28/2+K$30/2)</f>
        <v>0.56850000000000056</v>
      </c>
    </row>
    <row r="34" spans="6:11" x14ac:dyDescent="0.25">
      <c r="F34" s="50" t="s">
        <v>271</v>
      </c>
      <c r="G34" s="45">
        <f>(G$15-G$24/2-2*G$16)/0.1</f>
        <v>-2.3500000000000121</v>
      </c>
      <c r="H34" s="49">
        <f>(H$15-H$24/2-2*H$16)/0.1</f>
        <v>0.64999999999998614</v>
      </c>
      <c r="I34" s="50">
        <f>(I$15-I$24/2-2*I$16)/0.1</f>
        <v>0.64999999999998614</v>
      </c>
      <c r="J34" s="45">
        <f>(J$15-J$24/2-2*J$16)/0.1</f>
        <v>1.6499999999999915</v>
      </c>
      <c r="K34" s="49">
        <f>(K$15-K$24/2-2*K$16)/0.1</f>
        <v>-1.0000000000000053</v>
      </c>
    </row>
    <row r="35" spans="6:11" x14ac:dyDescent="0.25">
      <c r="F35" s="50" t="s">
        <v>270</v>
      </c>
      <c r="G35" s="45">
        <f>(-1)*(G$16+G$28/2+G$29)</f>
        <v>-3.8025000000000002</v>
      </c>
      <c r="H35" s="49">
        <f>(-1)*(H$16+H$28/2+H$29)</f>
        <v>-3.4025000000000003</v>
      </c>
      <c r="I35" s="50">
        <f>(-1)*(I$16+I$28/2+I$29)</f>
        <v>-3.4025000000000003</v>
      </c>
      <c r="J35" s="45">
        <f>(-1)*(J$16+J$28/2+J$29)</f>
        <v>-3.3180000000000001</v>
      </c>
      <c r="K35" s="49">
        <f>(-1)*(K$16+K$28/2+K$29)</f>
        <v>-3.3515000000000001</v>
      </c>
    </row>
    <row r="36" spans="6:11" x14ac:dyDescent="0.25">
      <c r="F36" s="50" t="s">
        <v>269</v>
      </c>
      <c r="G36" s="45">
        <f>G$15-(G$16-G$28/2)</f>
        <v>3.7054999999999989</v>
      </c>
      <c r="H36" s="49">
        <f>H$15-(H$16-H$28/2)</f>
        <v>3.6054999999999988</v>
      </c>
      <c r="I36" s="50">
        <f>I$15-(I$16-I$28/2)</f>
        <v>3.6054999999999988</v>
      </c>
      <c r="J36" s="45">
        <f>J$15-(J$16-J$28/2)</f>
        <v>3.6429999999999989</v>
      </c>
      <c r="K36" s="49">
        <f>K$15-(K$16-K$28/2)</f>
        <v>3.5084999999999993</v>
      </c>
    </row>
    <row r="37" spans="6:11" x14ac:dyDescent="0.25">
      <c r="F37" s="50" t="s">
        <v>268</v>
      </c>
      <c r="G37" s="45">
        <f>INT(G$20*G$6*G$9*10^(((G$36-G$18)/G$11-1)/0.157)/(2*2)*1000*0.6)/1000</f>
        <v>7.0000000000000001E-3</v>
      </c>
      <c r="H37" s="49">
        <f>INT(H$20*H$6*H$9*10^(((H$36-H$18)/H$11-1)/0.157)/(2*2)*1000*0.6)/1000</f>
        <v>1.4E-2</v>
      </c>
      <c r="I37" s="50">
        <f>INT(I$20*I$6*I$9*10^(((I$36-I$18)/I$11-1)/0.157)/(2*2)*1000*0.6)/1000</f>
        <v>1.4E-2</v>
      </c>
      <c r="J37" s="45">
        <f>INT(J$20*J$6*J$9*10^(((J$36-J$18)/J$11-1)/0.157)/(2*2)*1000*0.6)/1000</f>
        <v>5.2999999999999999E-2</v>
      </c>
      <c r="K37" s="49">
        <f>INT(K$20*K$6*K$9*10^(((K$36-K$18)/K$11-1)/0.157)/(2*2)*1000*0.6)/1000</f>
        <v>6.0000000000000001E-3</v>
      </c>
    </row>
    <row r="38" spans="6:11" x14ac:dyDescent="0.25">
      <c r="F38" s="50" t="s">
        <v>267</v>
      </c>
      <c r="G38" s="45">
        <f>INT(G$20*G$6*G$10*10^(((G$36-G$18)/G$11-1)/0.157)*1000*0.6)/1000</f>
        <v>2.9000000000000001E-2</v>
      </c>
      <c r="H38" s="49">
        <f>INT(H$20*H$6*H$10*10^(((H$36-H$18)/H$11-1)/0.157)*1000*0.6)/1000</f>
        <v>5.8000000000000003E-2</v>
      </c>
      <c r="I38" s="50">
        <f>INT(I$20*I$6*I$10*10^(((I$36-I$18)/I$11-1)/0.157)*1000*0.6)/1000</f>
        <v>7.2999999999999995E-2</v>
      </c>
      <c r="J38" s="45">
        <f>INT(J$20*J$6*J$10*10^(((J$36-J$18)/J$11-1)/0.157)*1000*0.6)/1000</f>
        <v>0.1</v>
      </c>
      <c r="K38" s="49">
        <f>INT(K$20*K$6*K$10*10^(((K$36-K$18)/K$11-1)/0.157)*1000*0.6)/1000</f>
        <v>1.2E-2</v>
      </c>
    </row>
    <row r="39" spans="6:11" x14ac:dyDescent="0.25">
      <c r="F39" s="50" t="s">
        <v>266</v>
      </c>
      <c r="G39" s="45">
        <f>G$36+G$37+G$38</f>
        <v>3.7414999999999989</v>
      </c>
      <c r="H39" s="49">
        <f>H$36+H$37+H$38</f>
        <v>3.6774999999999984</v>
      </c>
      <c r="I39" s="50">
        <f>I$36+I$37+I$38</f>
        <v>3.6924999999999986</v>
      </c>
      <c r="J39" s="45">
        <f>J$36+J$37+J$38</f>
        <v>3.7959999999999989</v>
      </c>
      <c r="K39" s="49">
        <f>K$36+K$37+K$38</f>
        <v>3.5264999999999991</v>
      </c>
    </row>
    <row r="40" spans="6:11" x14ac:dyDescent="0.25">
      <c r="F40" s="50" t="s">
        <v>265</v>
      </c>
      <c r="G40" s="45">
        <f>G39-G35</f>
        <v>7.5439999999999987</v>
      </c>
      <c r="H40" s="49">
        <f>H39-H35</f>
        <v>7.0799999999999983</v>
      </c>
      <c r="I40" s="50">
        <f>I39-I35</f>
        <v>7.0949999999999989</v>
      </c>
      <c r="J40" s="45">
        <f>J39-J35</f>
        <v>7.113999999999999</v>
      </c>
      <c r="K40" s="49">
        <f>K39-K35</f>
        <v>6.8779999999999992</v>
      </c>
    </row>
    <row r="41" spans="6:11" x14ac:dyDescent="0.25">
      <c r="F41" s="51" t="s">
        <v>264</v>
      </c>
      <c r="G41" s="45"/>
      <c r="H41" s="49"/>
      <c r="I41" s="50"/>
      <c r="J41" s="45"/>
      <c r="K41" s="49"/>
    </row>
    <row r="42" spans="6:11" x14ac:dyDescent="0.25">
      <c r="F42" s="50" t="s">
        <v>263</v>
      </c>
      <c r="G42" s="45">
        <f>(G14+G13-G17*5)/(2*2)</f>
        <v>2.8</v>
      </c>
      <c r="H42" s="45">
        <f>(H14+H13-H17*5)/(2*2)</f>
        <v>2.5499999999999998</v>
      </c>
      <c r="I42" s="45">
        <f>(I14+I13-I17*5)/(2*2)</f>
        <v>2.5499999999999998</v>
      </c>
      <c r="J42" s="45">
        <f>(J14+J13-J17*5)/(2*2)</f>
        <v>2.5499999999999998</v>
      </c>
      <c r="K42" s="49">
        <f>(K11+K17*5+K23+0.1)/2</f>
        <v>2.5499999999999998</v>
      </c>
    </row>
    <row r="43" spans="6:11" x14ac:dyDescent="0.25">
      <c r="F43" s="50" t="s">
        <v>262</v>
      </c>
      <c r="G43" s="45">
        <f>INT(100*G42/G11)/100</f>
        <v>0.57999999999999996</v>
      </c>
      <c r="H43" s="49">
        <f>INT(100*H42/H11)/100</f>
        <v>0.59</v>
      </c>
      <c r="I43" s="50">
        <f>INT(100*I42/I11)/100</f>
        <v>0.59</v>
      </c>
      <c r="J43" s="45">
        <f>INT(100*J42/J11)/100</f>
        <v>0.59</v>
      </c>
      <c r="K43" s="49">
        <f>INT(100*K42/K11)/100</f>
        <v>0.59</v>
      </c>
    </row>
    <row r="44" spans="6:11" hidden="1" x14ac:dyDescent="0.25">
      <c r="F44" s="50" t="s">
        <v>261</v>
      </c>
      <c r="G44" s="45">
        <f>G$20*10^((G43-1)/0.157)</f>
        <v>4.2254285267088188E-10</v>
      </c>
      <c r="H44" s="49">
        <f>H$20*10^((H43-1)/0.157)</f>
        <v>4.8928852149432204E-10</v>
      </c>
      <c r="I44" s="50">
        <f>I$20*10^((I43-1)/0.157)</f>
        <v>2.4464426074716102E-10</v>
      </c>
      <c r="J44" s="45">
        <f>J$20*10^((J43-1)/0.157)</f>
        <v>2.4464426074716102E-10</v>
      </c>
      <c r="K44" s="49">
        <f>K$20*10^((K43-1)/0.157)</f>
        <v>4.8928852149432209E-11</v>
      </c>
    </row>
    <row r="45" spans="6:11" hidden="1" x14ac:dyDescent="0.25">
      <c r="F45" s="50" t="s">
        <v>260</v>
      </c>
      <c r="G45" s="45">
        <f>INT(1000*G$44*G$5*G$7/(2*2*2))/1000</f>
        <v>1.2E-2</v>
      </c>
      <c r="H45" s="49">
        <f>INT(1000*H$44*H$5*H$7/(2*2*2))/1000</f>
        <v>1.4999999999999999E-2</v>
      </c>
      <c r="I45" s="50">
        <f>INT(1000*I$44*I$5*I$7/(2*2*2))/1000</f>
        <v>1.4999999999999999E-2</v>
      </c>
      <c r="J45" s="45">
        <f>INT(1000*J$44*J$5*J$7/(2*2*2))/1000</f>
        <v>1.2E-2</v>
      </c>
      <c r="K45" s="49">
        <f>INT(1000*K$44*K$5*K$7/(2*2*2))/1000</f>
        <v>2E-3</v>
      </c>
    </row>
    <row r="46" spans="6:11" hidden="1" x14ac:dyDescent="0.25">
      <c r="F46" s="50" t="s">
        <v>259</v>
      </c>
      <c r="G46" s="45">
        <f>INT(1000*G$44*G$5*G$8)/1000</f>
        <v>2.5000000000000001E-2</v>
      </c>
      <c r="H46" s="49">
        <f>INT(1000*H$44*H$5*H$8)/1000</f>
        <v>0.03</v>
      </c>
      <c r="I46" s="50">
        <f>INT(1000*I$44*I$5*I$8)/1000</f>
        <v>0.03</v>
      </c>
      <c r="J46" s="45">
        <f>INT(1000*J$44*J$5*J$8)/1000</f>
        <v>0.03</v>
      </c>
      <c r="K46" s="49">
        <f>INT(1000*K$44*K$5*K$8)/1000</f>
        <v>6.0000000000000001E-3</v>
      </c>
    </row>
    <row r="47" spans="6:11" hidden="1" x14ac:dyDescent="0.25">
      <c r="F47" s="50" t="s">
        <v>258</v>
      </c>
      <c r="G47" s="45">
        <f>INT(1000*G44*G6*G10/(2*2))/1000</f>
        <v>8.0000000000000002E-3</v>
      </c>
      <c r="H47" s="49">
        <f>INT(1000*H44*H6*H10/(2*2))/1000</f>
        <v>0.01</v>
      </c>
      <c r="I47" s="50">
        <f>INT(1000*I44*I6*I10/(2*2))/1000</f>
        <v>1.2E-2</v>
      </c>
      <c r="J47" s="45">
        <f>INT(1000*J44*J6*J10/(2*2))/1000</f>
        <v>1.4999999999999999E-2</v>
      </c>
      <c r="K47" s="49">
        <f>INT(1000*K44*K6*K10/(2*2))/1000</f>
        <v>3.0000000000000001E-3</v>
      </c>
    </row>
    <row r="48" spans="6:11" hidden="1" x14ac:dyDescent="0.25">
      <c r="F48" s="50" t="s">
        <v>257</v>
      </c>
      <c r="G48" s="45">
        <f>INT(1000*G$44*G6*G$10)/1000</f>
        <v>3.4000000000000002E-2</v>
      </c>
      <c r="H48" s="49">
        <f>INT(1000*H$44*H6*H$10)/1000</f>
        <v>0.04</v>
      </c>
      <c r="I48" s="50">
        <f>INT(1000*I$44*I6*I$10)/1000</f>
        <v>0.05</v>
      </c>
      <c r="J48" s="45">
        <f>INT(1000*J$44*J6*J$10)/1000</f>
        <v>0.06</v>
      </c>
      <c r="K48" s="49">
        <f>INT(1000*K$44*K6*K$10)/1000</f>
        <v>1.2E-2</v>
      </c>
    </row>
    <row r="49" spans="6:11" hidden="1" x14ac:dyDescent="0.25">
      <c r="F49" s="50" t="s">
        <v>256</v>
      </c>
      <c r="G49" s="45">
        <f>SUM(G45:G48)</f>
        <v>7.9000000000000015E-2</v>
      </c>
      <c r="H49" s="49">
        <f>SUM(H45:H48)</f>
        <v>9.5000000000000001E-2</v>
      </c>
      <c r="I49" s="50">
        <f>SUM(I45:I48)</f>
        <v>0.107</v>
      </c>
      <c r="J49" s="45">
        <f>SUM(J45:J48)</f>
        <v>0.11699999999999999</v>
      </c>
      <c r="K49" s="49">
        <f>SUM(K45:K48)</f>
        <v>2.3E-2</v>
      </c>
    </row>
    <row r="50" spans="6:11" hidden="1" x14ac:dyDescent="0.25">
      <c r="F50" s="50" t="s">
        <v>255</v>
      </c>
      <c r="G50" s="45">
        <f>MAX(0.1,G$49)</f>
        <v>0.1</v>
      </c>
      <c r="H50" s="49">
        <f>MAX(0.1,H$49)</f>
        <v>0.1</v>
      </c>
      <c r="I50" s="50">
        <f>MAX(0.1,I$49)</f>
        <v>0.107</v>
      </c>
      <c r="J50" s="45">
        <f>MAX(0.1,J$49)</f>
        <v>0.11699999999999999</v>
      </c>
      <c r="K50" s="49">
        <f>MAX(0.1,K$49)</f>
        <v>0.1</v>
      </c>
    </row>
    <row r="51" spans="6:11" x14ac:dyDescent="0.25">
      <c r="F51" s="48" t="s">
        <v>254</v>
      </c>
      <c r="G51" s="47">
        <f>INT(100*(G$13-G$11-10*G$17-G$50-G$23-G$25))/100</f>
        <v>0.02</v>
      </c>
      <c r="H51" s="46">
        <f>INT(100*(H$13-H$11-10*H$17-H$50-H$23-H$25))/100</f>
        <v>0.02</v>
      </c>
      <c r="I51" s="48">
        <f>INT(100*(I$13-I$11-10*I$17-I$50-I$23-I$25))/100</f>
        <v>0.02</v>
      </c>
      <c r="J51" s="47">
        <f>INT(100*(J$13-J$11-10*J$17-J$50-J$23-J$25))/100</f>
        <v>0.01</v>
      </c>
      <c r="K51" s="46">
        <f>INT(100*(K$13-K$11-10*K$17-K$50-K$23-K$25))/100</f>
        <v>-0.01</v>
      </c>
    </row>
    <row r="52" spans="6:11" hidden="1" x14ac:dyDescent="0.25">
      <c r="F52" s="45" t="s">
        <v>253</v>
      </c>
      <c r="G52" s="45">
        <f>INT(100*(G$13-G$11-10*G$17-MAX(G$50-G$23-G$25))/100)</f>
        <v>0</v>
      </c>
      <c r="H52" s="45">
        <f>INT(100*(H$13-H$11-10*H$17-H$50-H$23-H$25))/100</f>
        <v>0.02</v>
      </c>
      <c r="I52" s="45">
        <f>INT(100*(I$13-I$11-10*I$17-I$50-I$23-I$25))/100</f>
        <v>0.02</v>
      </c>
      <c r="J52" s="45">
        <f>INT(100*(K$13-K$11-10*K$17-K$50-K$23-K$25))/100</f>
        <v>-0.01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19157EAA59541A312DF3709770A68" ma:contentTypeVersion="0" ma:contentTypeDescription="Create a new document." ma:contentTypeScope="" ma:versionID="f62aaf964ec2ad99f0fc33f7083bc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3E10FF-8E6D-40AE-B2A6-1A9120022FBE}"/>
</file>

<file path=customXml/itemProps2.xml><?xml version="1.0" encoding="utf-8"?>
<ds:datastoreItem xmlns:ds="http://schemas.openxmlformats.org/officeDocument/2006/customXml" ds:itemID="{8B936175-9A73-41C7-A26A-6281D92C28AB}"/>
</file>

<file path=customXml/itemProps3.xml><?xml version="1.0" encoding="utf-8"?>
<ds:datastoreItem xmlns:ds="http://schemas.openxmlformats.org/officeDocument/2006/customXml" ds:itemID="{0FC97568-E73A-4761-B56F-DBAC31535B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S15, S26A DTS and 30s draft</vt:lpstr>
      <vt:lpstr>MTS draft rev0</vt:lpstr>
      <vt:lpstr>Calc</vt:lpstr>
    </vt:vector>
  </TitlesOfParts>
  <Company>Intel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Nate Franklin</dc:creator>
  <cp:lastModifiedBy>Andrea Redaelli (aredael)</cp:lastModifiedBy>
  <dcterms:created xsi:type="dcterms:W3CDTF">2011-05-12T23:12:47Z</dcterms:created>
  <dcterms:modified xsi:type="dcterms:W3CDTF">2017-06-30T15:57:33Z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0x01010058C19157EAA59541A312DF3709770A68</vt:lpwstr>
  </property>
</Properties>
</file>