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Memory Semantics Benchmark/"/>
    </mc:Choice>
  </mc:AlternateContent>
  <xr:revisionPtr revIDLastSave="1377" documentId="8_{FFAE45CB-CBE5-B640-98F0-0F2508A83C54}" xr6:coauthVersionLast="47" xr6:coauthVersionMax="47" xr10:uidLastSave="{0C1A6689-2E70-8946-BB24-13B826E7C80E}"/>
  <bookViews>
    <workbookView xWindow="-19320" yWindow="-20000" windowWidth="32000" windowHeight="20000" xr2:uid="{B85F4730-F1F0-F844-8940-B185BC42CBCA}"/>
  </bookViews>
  <sheets>
    <sheet name="All data" sheetId="1" r:id="rId1"/>
    <sheet name="Summary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L34" i="2"/>
  <c r="K34" i="2"/>
  <c r="J34" i="2"/>
  <c r="I34" i="2"/>
  <c r="H34" i="2"/>
  <c r="G34" i="2"/>
  <c r="F34" i="2"/>
  <c r="E34" i="2"/>
  <c r="D34" i="2"/>
  <c r="C34" i="2"/>
  <c r="M32" i="2"/>
  <c r="L32" i="2"/>
  <c r="K32" i="2"/>
  <c r="J32" i="2"/>
  <c r="I32" i="2"/>
  <c r="H32" i="2"/>
  <c r="G32" i="2"/>
  <c r="F32" i="2"/>
  <c r="E32" i="2"/>
  <c r="D32" i="2"/>
  <c r="C32" i="2"/>
  <c r="M30" i="2"/>
  <c r="L30" i="2"/>
  <c r="K30" i="2"/>
  <c r="J30" i="2"/>
  <c r="I30" i="2"/>
  <c r="H30" i="2"/>
  <c r="G30" i="2"/>
  <c r="F30" i="2"/>
  <c r="E30" i="2"/>
  <c r="D30" i="2"/>
  <c r="C30" i="2"/>
  <c r="M28" i="2"/>
  <c r="L28" i="2"/>
  <c r="K28" i="2"/>
  <c r="J28" i="2"/>
  <c r="I28" i="2"/>
  <c r="H28" i="2"/>
  <c r="G28" i="2"/>
  <c r="F28" i="2"/>
  <c r="E28" i="2"/>
  <c r="D28" i="2"/>
  <c r="C28" i="2"/>
  <c r="M26" i="2"/>
  <c r="L26" i="2"/>
  <c r="K26" i="2"/>
  <c r="J26" i="2"/>
  <c r="I26" i="2"/>
  <c r="H26" i="2"/>
  <c r="G26" i="2"/>
  <c r="F26" i="2"/>
  <c r="E26" i="2"/>
  <c r="D26" i="2"/>
  <c r="C26" i="2"/>
  <c r="E19" i="2"/>
  <c r="E27" i="2" s="1"/>
  <c r="E18" i="2"/>
  <c r="E22" i="2"/>
  <c r="E29" i="2" s="1"/>
  <c r="K23" i="1"/>
  <c r="K24" i="1" s="1"/>
  <c r="K25" i="1" s="1"/>
  <c r="K28" i="1" s="1"/>
  <c r="K22" i="1"/>
  <c r="M29" i="2"/>
  <c r="L29" i="2"/>
  <c r="K29" i="2"/>
  <c r="J29" i="2"/>
  <c r="I29" i="2"/>
  <c r="H29" i="2"/>
  <c r="G29" i="2"/>
  <c r="F29" i="2"/>
  <c r="D29" i="2"/>
  <c r="C29" i="2"/>
  <c r="M27" i="2"/>
  <c r="L27" i="2"/>
  <c r="K27" i="2"/>
  <c r="J27" i="2"/>
  <c r="I27" i="2"/>
  <c r="H27" i="2"/>
  <c r="G27" i="2"/>
  <c r="F27" i="2"/>
  <c r="D27" i="2"/>
  <c r="C27" i="2"/>
  <c r="C25" i="2"/>
  <c r="M25" i="2"/>
  <c r="L25" i="2"/>
  <c r="K25" i="2"/>
  <c r="J25" i="2"/>
  <c r="I25" i="2"/>
  <c r="H25" i="2"/>
  <c r="G25" i="2"/>
  <c r="F25" i="2"/>
  <c r="E25" i="2"/>
  <c r="D25" i="2"/>
  <c r="I13" i="2"/>
  <c r="S16" i="1" l="1"/>
  <c r="S13" i="1"/>
  <c r="S12" i="1"/>
  <c r="R20" i="1"/>
  <c r="R23" i="1" s="1"/>
  <c r="R24" i="1" s="1"/>
  <c r="R25" i="1" s="1"/>
  <c r="R28" i="1" s="1"/>
  <c r="R16" i="1"/>
  <c r="R13" i="1"/>
  <c r="Q20" i="1"/>
  <c r="Q23" i="1" s="1"/>
  <c r="Q24" i="1" s="1"/>
  <c r="Q25" i="1" s="1"/>
  <c r="Q28" i="1" s="1"/>
  <c r="Q12" i="1"/>
  <c r="Q22" i="1" s="1"/>
  <c r="P12" i="1"/>
  <c r="P22" i="1" s="1"/>
  <c r="P20" i="1"/>
  <c r="P23" i="1" s="1"/>
  <c r="O22" i="1"/>
  <c r="O16" i="1"/>
  <c r="O20" i="1" s="1"/>
  <c r="O23" i="1" s="1"/>
  <c r="O24" i="1" s="1"/>
  <c r="N16" i="1"/>
  <c r="N20" i="1" s="1"/>
  <c r="N23" i="1" s="1"/>
  <c r="N24" i="1" s="1"/>
  <c r="N13" i="1"/>
  <c r="N22" i="1" s="1"/>
  <c r="M23" i="1"/>
  <c r="M24" i="1" s="1"/>
  <c r="M22" i="1"/>
  <c r="O25" i="1" l="1"/>
  <c r="O28" i="1" s="1"/>
  <c r="S22" i="1"/>
  <c r="S20" i="1"/>
  <c r="S23" i="1" s="1"/>
  <c r="P24" i="1"/>
  <c r="P25" i="1"/>
  <c r="P28" i="1" s="1"/>
  <c r="M25" i="1"/>
  <c r="M28" i="1" s="1"/>
  <c r="N25" i="1"/>
  <c r="N28" i="1" s="1"/>
  <c r="L23" i="1"/>
  <c r="L24" i="1" s="1"/>
  <c r="L22" i="1"/>
  <c r="J22" i="1"/>
  <c r="S24" i="1" l="1"/>
  <c r="S25" i="1" s="1"/>
  <c r="S28" i="1" s="1"/>
  <c r="L25" i="1"/>
  <c r="L28" i="1" s="1"/>
  <c r="F22" i="1" l="1"/>
  <c r="D23" i="1" l="1"/>
  <c r="D24" i="1" s="1"/>
  <c r="J23" i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G22" i="1"/>
  <c r="H22" i="1"/>
  <c r="I22" i="1"/>
  <c r="D22" i="1"/>
  <c r="E22" i="1"/>
  <c r="AE28" i="1"/>
  <c r="AF28" i="1" s="1"/>
  <c r="AE27" i="1"/>
  <c r="AF27" i="1" s="1"/>
  <c r="F25" i="1" l="1"/>
  <c r="F28" i="1" s="1"/>
  <c r="E25" i="1"/>
  <c r="E28" i="1" s="1"/>
  <c r="G25" i="1"/>
  <c r="G28" i="1" s="1"/>
  <c r="J25" i="1"/>
  <c r="J28" i="1" s="1"/>
  <c r="I25" i="1"/>
  <c r="I28" i="1" s="1"/>
  <c r="H25" i="1"/>
  <c r="H28" i="1" s="1"/>
  <c r="D25" i="1"/>
  <c r="D28" i="1" s="1"/>
</calcChain>
</file>

<file path=xl/sharedStrings.xml><?xml version="1.0" encoding="utf-8"?>
<sst xmlns="http://schemas.openxmlformats.org/spreadsheetml/2006/main" count="396" uniqueCount="212">
  <si>
    <t>Commodity DRAM (JEDEC)</t>
  </si>
  <si>
    <t>Custom DRAM</t>
  </si>
  <si>
    <t>Tech Attributes</t>
  </si>
  <si>
    <t>LPDDR4x</t>
  </si>
  <si>
    <t>LPDDR5</t>
  </si>
  <si>
    <t>HBM2</t>
  </si>
  <si>
    <t>HBM2E</t>
  </si>
  <si>
    <t>HBM3</t>
  </si>
  <si>
    <t>HBLL-Proto</t>
  </si>
  <si>
    <r>
      <t xml:space="preserve">HBLL-2znm 
</t>
    </r>
    <r>
      <rPr>
        <b/>
        <sz val="10"/>
        <color rgb="FF0E170E"/>
        <rFont val="Verdana"/>
        <family val="2"/>
      </rPr>
      <t>(PM estimate)</t>
    </r>
  </si>
  <si>
    <t>HBM2 Mono-die</t>
  </si>
  <si>
    <t>HBM3 Mono-die</t>
  </si>
  <si>
    <t>Samsung DBM</t>
  </si>
  <si>
    <t>Hynix HBLC</t>
  </si>
  <si>
    <t>Hynix SEED-OptA</t>
  </si>
  <si>
    <t>Hynix SEED OptB</t>
  </si>
  <si>
    <t>Hynix ULP DRAM</t>
  </si>
  <si>
    <t>Device</t>
  </si>
  <si>
    <t>8Gb</t>
  </si>
  <si>
    <t>2Gb</t>
  </si>
  <si>
    <t>4Gb</t>
  </si>
  <si>
    <t>TBD (16 or 24Gb)</t>
  </si>
  <si>
    <t>4/8Gb</t>
  </si>
  <si>
    <t>2Gb/4Gb</t>
  </si>
  <si>
    <t>1x</t>
  </si>
  <si>
    <t>TBD</t>
  </si>
  <si>
    <t>1y</t>
  </si>
  <si>
    <t>1z</t>
  </si>
  <si>
    <t>NA</t>
  </si>
  <si>
    <t>1271.3  22nm</t>
  </si>
  <si>
    <t>37nm</t>
  </si>
  <si>
    <t>2z</t>
  </si>
  <si>
    <t>TBD (1z?)</t>
  </si>
  <si>
    <t>1x(WW01_21)</t>
  </si>
  <si>
    <t>4, 8</t>
  </si>
  <si>
    <t>Extra ECC storage area</t>
  </si>
  <si>
    <t>No ECC</t>
  </si>
  <si>
    <t>Data:Parity=8:1</t>
  </si>
  <si>
    <t>Data: Parity=8:1</t>
  </si>
  <si>
    <t>TBD(Data:Parity=8:1)</t>
  </si>
  <si>
    <t>LPDDR</t>
  </si>
  <si>
    <t>HBM (LP like)</t>
  </si>
  <si>
    <t>GDDR</t>
  </si>
  <si>
    <t>DDR</t>
  </si>
  <si>
    <t>Full Duplex (eOPIO)</t>
  </si>
  <si>
    <t>SRAM</t>
  </si>
  <si>
    <t>Similar to LPDDR4</t>
  </si>
  <si>
    <t>LVSUL</t>
  </si>
  <si>
    <t>LP5</t>
  </si>
  <si>
    <t>Core</t>
  </si>
  <si>
    <t>Banks per channel</t>
  </si>
  <si>
    <t>32 (8 BG)</t>
  </si>
  <si>
    <t>32 (2 pseudo-ch/ch)</t>
  </si>
  <si>
    <t>TBD (32) (2 pseudo-ch/ch)</t>
  </si>
  <si>
    <t>4BG per ch</t>
  </si>
  <si>
    <t>4BG per ch/2BG per ch</t>
  </si>
  <si>
    <t>16(4BG)</t>
  </si>
  <si>
    <t>Total # of banks per die</t>
  </si>
  <si>
    <t>TBD (512)</t>
  </si>
  <si>
    <t>128/256</t>
  </si>
  <si>
    <t>64/128</t>
  </si>
  <si>
    <t>700 or 800</t>
  </si>
  <si>
    <t>Same as LP5</t>
  </si>
  <si>
    <t>Same as Lp5</t>
  </si>
  <si>
    <t>Same as Lp5(200MHz)</t>
  </si>
  <si>
    <t>IO</t>
  </si>
  <si>
    <t>X1024</t>
  </si>
  <si>
    <t>X512</t>
  </si>
  <si>
    <t>TBD (X1024 or X2048)</t>
  </si>
  <si>
    <t>x256</t>
  </si>
  <si>
    <t>x512</t>
  </si>
  <si>
    <t>128 (1die)</t>
  </si>
  <si>
    <t>256 (1 die)</t>
  </si>
  <si>
    <t>128 (1 die)</t>
  </si>
  <si>
    <t>358 or 410 (1 die)</t>
  </si>
  <si>
    <t>134 (1 die)</t>
  </si>
  <si>
    <t>307 (1 die)</t>
  </si>
  <si>
    <t>716 or 820 (1 die)</t>
  </si>
  <si>
    <t>268 (1 die)</t>
  </si>
  <si>
    <t>10x - 102 (1 die)</t>
  </si>
  <si>
    <t>20x - 204 (1 die)</t>
  </si>
  <si>
    <t>24x - 245 (1 die)</t>
  </si>
  <si>
    <t>56x or 64x - 
573 or 656 ( 1die)</t>
  </si>
  <si>
    <t>20x - 21 (1 die)</t>
  </si>
  <si>
    <t>12x - 12.5 (1 die)</t>
  </si>
  <si>
    <t>No data</t>
  </si>
  <si>
    <t>1.0~2.4</t>
  </si>
  <si>
    <t>TBD (2.8 or 3.2 ~ 5.6 or 6.4)</t>
  </si>
  <si>
    <t>2.1 ~ 4.2</t>
  </si>
  <si>
    <t>3.2(4.2)</t>
  </si>
  <si>
    <t>2.9x (117mm2)</t>
  </si>
  <si>
    <t>3.4x (136mm2)</t>
  </si>
  <si>
    <r>
      <t>3.4x (~134mm2 no DFT)</t>
    </r>
    <r>
      <rPr>
        <vertAlign val="superscript"/>
        <sz val="11"/>
        <color rgb="FF000000"/>
        <rFont val="Verdana"/>
        <family val="2"/>
      </rPr>
      <t>8)</t>
    </r>
    <r>
      <rPr>
        <sz val="11"/>
        <color rgb="FF000000"/>
        <rFont val="Verdana"/>
        <family val="2"/>
      </rPr>
      <t xml:space="preserve">
3.8x (~150mm2 w/ DFT)</t>
    </r>
  </si>
  <si>
    <r>
      <t xml:space="preserve">0.87/1.74x (4/8Gb 35/70mm2 - 1.8x LP4) </t>
    </r>
    <r>
      <rPr>
        <vertAlign val="superscript"/>
        <sz val="11"/>
        <color rgb="FF0070C0"/>
        <rFont val="Verdana"/>
        <family val="2"/>
      </rPr>
      <t>9)</t>
    </r>
  </si>
  <si>
    <t>6mm x 7mm</t>
  </si>
  <si>
    <t>6mmx11mm</t>
  </si>
  <si>
    <t>4mmx11mm</t>
  </si>
  <si>
    <t>1x (36ns)</t>
  </si>
  <si>
    <t>0.9x (34ns)</t>
  </si>
  <si>
    <t>TBD (34ns)</t>
  </si>
  <si>
    <t>0.5x (18ns)</t>
  </si>
  <si>
    <t>0.7x (24ns)</t>
  </si>
  <si>
    <t xml:space="preserve">Package technology </t>
  </si>
  <si>
    <t>PoP and BGA</t>
  </si>
  <si>
    <t>EMIB</t>
  </si>
  <si>
    <t>Organic Interposer</t>
  </si>
  <si>
    <t>SIP/ PoP/ BGA</t>
  </si>
  <si>
    <t>TSV interposer/inFO</t>
  </si>
  <si>
    <t>DDR4</t>
  </si>
  <si>
    <t>1,2,4</t>
  </si>
  <si>
    <t>4, 8, 12</t>
  </si>
  <si>
    <t>Package</t>
  </si>
  <si>
    <t>Stacking Technology</t>
  </si>
  <si>
    <t>xDIMM, CAMM</t>
  </si>
  <si>
    <t>xDIMM</t>
  </si>
  <si>
    <t>PCB</t>
  </si>
  <si>
    <t>Module Integration</t>
  </si>
  <si>
    <t>xDP WB</t>
  </si>
  <si>
    <t>2.5D CoW µB</t>
  </si>
  <si>
    <t>2.5D CoW µB
2.3D  FO  µB</t>
  </si>
  <si>
    <t>SDP, DQP</t>
  </si>
  <si>
    <t>1, 2, 4</t>
  </si>
  <si>
    <t>TSV+µB 
w/ 2.5D CoW</t>
  </si>
  <si>
    <t>Host Connectivity</t>
  </si>
  <si>
    <t xml:space="preserve">PCB
Package Subst RDL </t>
  </si>
  <si>
    <t>DDR5</t>
  </si>
  <si>
    <t>PCB, LPCAMM
MoP</t>
  </si>
  <si>
    <t xml:space="preserve">PCB
MoP </t>
  </si>
  <si>
    <t># die per Stack</t>
  </si>
  <si>
    <t>1, 2</t>
  </si>
  <si>
    <t>2, 4, 5</t>
  </si>
  <si>
    <t>4, 5</t>
  </si>
  <si>
    <t>Package Assembly</t>
  </si>
  <si>
    <t>Protocol (Cmd/addr/DQ)</t>
  </si>
  <si>
    <t># of Channel per die</t>
  </si>
  <si>
    <t>Theoretical max BW (GB/s)</t>
  </si>
  <si>
    <t>Density per component  (die, macro, etc) (GB)</t>
  </si>
  <si>
    <t>BW/Capacity (BW/GB)</t>
  </si>
  <si>
    <r>
      <t>Die Size (mm</t>
    </r>
    <r>
      <rPr>
        <b/>
        <vertAlign val="super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)</t>
    </r>
  </si>
  <si>
    <r>
      <t>Density (MB/mm</t>
    </r>
    <r>
      <rPr>
        <b/>
        <vertAlign val="super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)</t>
    </r>
  </si>
  <si>
    <r>
      <t>BW/ Density ([GB/s]/mm</t>
    </r>
    <r>
      <rPr>
        <b/>
        <vertAlign val="super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)</t>
    </r>
  </si>
  <si>
    <t>Random Access Latency (ns)
DRAM=(tRCD+tAA)</t>
  </si>
  <si>
    <t>Max  DQ width</t>
  </si>
  <si>
    <t>Max Data rate/pin (GT/s)</t>
  </si>
  <si>
    <t>Access Energy (pJ/b)</t>
  </si>
  <si>
    <r>
      <t>Power Density (mW/mm</t>
    </r>
    <r>
      <rPr>
        <b/>
        <vertAlign val="super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)</t>
    </r>
  </si>
  <si>
    <t>FBGA</t>
  </si>
  <si>
    <t>EMIB, CoWoS-S</t>
  </si>
  <si>
    <t>EMIB, CoWoS-S, 
FO-EB</t>
  </si>
  <si>
    <t>PPA</t>
  </si>
  <si>
    <t># stack in a module</t>
  </si>
  <si>
    <t>Core Freq (MHz)</t>
  </si>
  <si>
    <t>Silicon Technology @ NPI</t>
  </si>
  <si>
    <t>GDDR6</t>
  </si>
  <si>
    <t xml:space="preserve">FBGA </t>
  </si>
  <si>
    <t>1,2</t>
  </si>
  <si>
    <t>1Z</t>
  </si>
  <si>
    <t>MCP</t>
  </si>
  <si>
    <t>Package Subst RDL</t>
  </si>
  <si>
    <t>Data: Parity =256:20</t>
  </si>
  <si>
    <t>BGA, EMIB</t>
  </si>
  <si>
    <t>P1271.3 eDRAM (SRG)</t>
  </si>
  <si>
    <t>IPM</t>
  </si>
  <si>
    <t>Foveros</t>
  </si>
  <si>
    <t>P1227.7
ADM (G2)</t>
  </si>
  <si>
    <t>P1227.7
22nm</t>
  </si>
  <si>
    <t>Muddy Creek</t>
  </si>
  <si>
    <t>2.3D FO µB</t>
  </si>
  <si>
    <t>SF4X</t>
  </si>
  <si>
    <t>Full Duplex</t>
  </si>
  <si>
    <t>Full Duplex
(eOPIO)</t>
  </si>
  <si>
    <t>LP Like</t>
  </si>
  <si>
    <t>SEC
LLW</t>
  </si>
  <si>
    <t>APM
VHM (AI)</t>
  </si>
  <si>
    <t>APM
VHM (Blockchain)</t>
  </si>
  <si>
    <t>Muddy Creek
Client-MSC</t>
  </si>
  <si>
    <t>3D HBI</t>
  </si>
  <si>
    <t>SDR</t>
  </si>
  <si>
    <t/>
  </si>
  <si>
    <t>30nm</t>
  </si>
  <si>
    <t>3D HBI
(Foveros)</t>
  </si>
  <si>
    <t>SKH
TCCD
(Server)</t>
  </si>
  <si>
    <t>Capacity (GB)</t>
  </si>
  <si>
    <t>Random Access Latency (ns)</t>
  </si>
  <si>
    <t>P1271.3</t>
  </si>
  <si>
    <t>P1227.7</t>
  </si>
  <si>
    <t>SKH TCCD</t>
  </si>
  <si>
    <t>SEC LLW</t>
  </si>
  <si>
    <t>Pin footprint (µm square per pin)</t>
  </si>
  <si>
    <t>2.5D/2.3D</t>
  </si>
  <si>
    <t>JEDEC</t>
  </si>
  <si>
    <r>
      <t>Die Size (mm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</si>
  <si>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Density (MB/mm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</si>
  <si>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BW/ Density ([GB/s]/mm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</si>
  <si>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Power Density (mW/mm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</si>
  <si>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DQ Density (DQ/mm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</si>
  <si>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t>2.5D</t>
  </si>
  <si>
    <t>2.3D</t>
  </si>
  <si>
    <t>APM VHM Blockchain</t>
  </si>
  <si>
    <t>APM VHM
AI</t>
  </si>
  <si>
    <t>Package Integration</t>
  </si>
  <si>
    <t>22nm
DRAM</t>
  </si>
  <si>
    <t>30nm
DRAM</t>
  </si>
  <si>
    <t>Performance Benchmark</t>
  </si>
  <si>
    <t>Capacity [GB]</t>
  </si>
  <si>
    <t>BW [TB/s]</t>
  </si>
  <si>
    <t>Power  [W]</t>
  </si>
  <si>
    <r>
      <t>Performance of a 100mm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 xml:space="preserve"> die</t>
    </r>
  </si>
  <si>
    <t>(Large is better)</t>
  </si>
  <si>
    <t>(Small is better)</t>
  </si>
  <si>
    <t>APM VHM AI</t>
  </si>
  <si>
    <t>Latency [ns]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</si>
</sst>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000000"/>
      <name val="Verdana"/>
      <family val="2"/>
    </font>
    <font>
      <b/>
      <sz val="12"/>
      <color rgb="FF0E170E"/>
      <name val="Verdana"/>
      <family val="2"/>
    </font>
    <font>
      <b/>
      <sz val="12"/>
      <name val="Verdana"/>
      <family val="2"/>
    </font>
    <font>
      <b/>
      <sz val="10"/>
      <color rgb="FF0E170E"/>
      <name val="Verdana"/>
      <family val="2"/>
    </font>
    <font>
      <b/>
      <sz val="12"/>
      <color rgb="FF0070C0"/>
      <name val="Verdana"/>
      <family val="2"/>
    </font>
    <font>
      <b/>
      <sz val="12"/>
      <color rgb="FF00B050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70C0"/>
      <name val="Verdana"/>
      <family val="2"/>
    </font>
    <font>
      <b/>
      <sz val="11"/>
      <color rgb="FF00B050"/>
      <name val="Verdana"/>
      <family val="2"/>
    </font>
    <font>
      <sz val="11"/>
      <color rgb="FF000000"/>
      <name val="Verdana"/>
      <family val="2"/>
    </font>
    <font>
      <sz val="11"/>
      <color rgb="FF0070C0"/>
      <name val="Verdana"/>
      <family val="2"/>
    </font>
    <font>
      <sz val="11"/>
      <name val="Verdana"/>
      <family val="2"/>
    </font>
    <font>
      <sz val="11"/>
      <color rgb="FF00B050"/>
      <name val="Verdana"/>
      <family val="2"/>
    </font>
    <font>
      <sz val="11"/>
      <color theme="4" tint="-0.249977111117893"/>
      <name val="Verdana"/>
      <family val="2"/>
    </font>
    <font>
      <b/>
      <vertAlign val="superscript"/>
      <sz val="11"/>
      <color theme="1"/>
      <name val="Verdana"/>
      <family val="2"/>
    </font>
    <font>
      <sz val="11"/>
      <color theme="1"/>
      <name val="Verdana"/>
      <family val="2"/>
    </font>
    <font>
      <vertAlign val="superscript"/>
      <sz val="11"/>
      <color rgb="FF000000"/>
      <name val="Verdana"/>
      <family val="2"/>
    </font>
    <font>
      <vertAlign val="superscript"/>
      <sz val="11"/>
      <color rgb="FF0070C0"/>
      <name val="Verdana"/>
      <family val="2"/>
    </font>
    <font>
      <sz val="11"/>
      <color theme="9" tint="0.39997558519241921"/>
      <name val="Verdana"/>
      <family val="2"/>
    </font>
    <font>
      <b/>
      <sz val="11"/>
      <color theme="9" tint="0.39997558519241921"/>
      <name val="Verdana"/>
      <family val="2"/>
    </font>
    <font>
      <sz val="10"/>
      <color rgb="FFC00000"/>
      <name val="Verdana"/>
      <family val="2"/>
    </font>
    <font>
      <sz val="10"/>
      <color theme="1"/>
      <name val="Verdana"/>
      <family val="2"/>
    </font>
    <font>
      <b/>
      <sz val="12"/>
      <color rgb="FF000000"/>
      <name val="Calibri"/>
      <family val="2"/>
      <scheme val="minor"/>
    </font>
    <font>
      <b/>
      <sz val="12"/>
      <color rgb="FF0E170E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vertAlign val="superscript"/>
      <sz val="12"/>
      <color theme="1"/>
      <name val="Calibri (Body)"/>
    </font>
    <font>
      <b/>
      <sz val="12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6CAE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9" fontId="25" fillId="5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9" fontId="14" fillId="5" borderId="1" xfId="0" applyNumberFormat="1" applyFont="1" applyFill="1" applyBorder="1" applyAlignment="1">
      <alignment horizontal="center" vertical="center" wrapText="1"/>
    </xf>
    <xf numFmtId="1" fontId="15" fillId="4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5" fillId="4" borderId="1" xfId="0" quotePrefix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9" fillId="6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36" fillId="3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865A-B19E-2144-BCC4-C9E38235D1A8}">
  <dimension ref="B1:AF29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8.83203125" defaultRowHeight="16" x14ac:dyDescent="0.2"/>
  <cols>
    <col min="1" max="1" width="1.83203125" customWidth="1"/>
    <col min="2" max="2" width="8.1640625" customWidth="1"/>
    <col min="3" max="3" width="32.5" customWidth="1"/>
    <col min="4" max="8" width="18.83203125" customWidth="1"/>
    <col min="9" max="9" width="20.1640625" customWidth="1"/>
    <col min="10" max="11" width="18.83203125" customWidth="1"/>
    <col min="12" max="12" width="19" customWidth="1"/>
    <col min="13" max="13" width="15" bestFit="1" customWidth="1"/>
    <col min="14" max="16" width="17.33203125" bestFit="1" customWidth="1"/>
    <col min="17" max="18" width="17.33203125" customWidth="1"/>
    <col min="19" max="19" width="21" bestFit="1" customWidth="1"/>
    <col min="20" max="23" width="18.1640625" customWidth="1"/>
    <col min="24" max="25" width="22" customWidth="1"/>
    <col min="26" max="28" width="23.83203125" customWidth="1"/>
  </cols>
  <sheetData>
    <row r="1" spans="2:28" ht="8" customHeight="1" x14ac:dyDescent="0.2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>
        <v>8</v>
      </c>
      <c r="T1" s="1"/>
      <c r="U1" s="1"/>
      <c r="V1" s="1"/>
      <c r="W1" s="1"/>
      <c r="X1" s="1"/>
      <c r="Y1" s="1"/>
    </row>
    <row r="2" spans="2:28" ht="26.25" customHeight="1" x14ac:dyDescent="0.2">
      <c r="B2" s="64"/>
      <c r="C2" s="65"/>
      <c r="D2" s="66" t="s">
        <v>0</v>
      </c>
      <c r="E2" s="67"/>
      <c r="F2" s="67"/>
      <c r="G2" s="67"/>
      <c r="H2" s="67"/>
      <c r="I2" s="67"/>
      <c r="J2" s="67"/>
      <c r="K2" s="67"/>
      <c r="L2" s="67"/>
      <c r="M2" s="68" t="s">
        <v>162</v>
      </c>
      <c r="N2" s="67"/>
      <c r="O2" s="67"/>
      <c r="P2" s="67"/>
      <c r="Q2" s="67"/>
      <c r="R2" s="67"/>
      <c r="S2" s="67"/>
      <c r="T2" s="69" t="s">
        <v>1</v>
      </c>
      <c r="U2" s="69"/>
      <c r="V2" s="69"/>
      <c r="W2" s="69"/>
      <c r="X2" s="69"/>
      <c r="Y2" s="69"/>
      <c r="Z2" s="69"/>
      <c r="AA2" s="69"/>
      <c r="AB2" s="69"/>
    </row>
    <row r="3" spans="2:28" ht="57.75" customHeight="1" x14ac:dyDescent="0.2">
      <c r="B3" s="23"/>
      <c r="C3" s="23" t="s">
        <v>2</v>
      </c>
      <c r="D3" s="24" t="s">
        <v>108</v>
      </c>
      <c r="E3" s="23" t="s">
        <v>3</v>
      </c>
      <c r="F3" s="24" t="s">
        <v>125</v>
      </c>
      <c r="G3" s="23" t="s">
        <v>4</v>
      </c>
      <c r="H3" s="23" t="s">
        <v>5</v>
      </c>
      <c r="I3" s="23" t="s">
        <v>6</v>
      </c>
      <c r="J3" s="24" t="s">
        <v>7</v>
      </c>
      <c r="K3" s="24" t="s">
        <v>7</v>
      </c>
      <c r="L3" s="24" t="s">
        <v>153</v>
      </c>
      <c r="M3" s="24" t="s">
        <v>161</v>
      </c>
      <c r="N3" s="24" t="s">
        <v>164</v>
      </c>
      <c r="O3" s="23" t="s">
        <v>175</v>
      </c>
      <c r="P3" s="23" t="s">
        <v>173</v>
      </c>
      <c r="Q3" s="23" t="s">
        <v>174</v>
      </c>
      <c r="R3" s="23" t="s">
        <v>181</v>
      </c>
      <c r="S3" s="23" t="s">
        <v>172</v>
      </c>
      <c r="T3" s="23" t="s">
        <v>8</v>
      </c>
      <c r="U3" s="23" t="s">
        <v>9</v>
      </c>
      <c r="V3" s="24" t="s">
        <v>10</v>
      </c>
      <c r="W3" s="24" t="s">
        <v>11</v>
      </c>
      <c r="X3" s="23" t="s">
        <v>12</v>
      </c>
      <c r="Y3" s="25" t="s">
        <v>13</v>
      </c>
      <c r="Z3" s="25" t="s">
        <v>14</v>
      </c>
      <c r="AA3" s="25" t="s">
        <v>15</v>
      </c>
      <c r="AB3" s="26" t="s">
        <v>16</v>
      </c>
    </row>
    <row r="4" spans="2:28" ht="57.75" customHeight="1" x14ac:dyDescent="0.2">
      <c r="B4" s="70" t="s">
        <v>111</v>
      </c>
      <c r="C4" s="27" t="s">
        <v>132</v>
      </c>
      <c r="D4" s="7" t="s">
        <v>114</v>
      </c>
      <c r="E4" s="7" t="s">
        <v>127</v>
      </c>
      <c r="F4" s="7" t="s">
        <v>113</v>
      </c>
      <c r="G4" s="7" t="s">
        <v>126</v>
      </c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11"/>
      <c r="T4" s="9">
        <v>1</v>
      </c>
      <c r="U4" s="9">
        <v>1</v>
      </c>
      <c r="V4" s="9">
        <v>1</v>
      </c>
      <c r="W4" s="9">
        <v>1</v>
      </c>
      <c r="X4" s="9">
        <v>1</v>
      </c>
      <c r="Y4" s="12">
        <v>1</v>
      </c>
      <c r="Z4" s="12">
        <v>2</v>
      </c>
      <c r="AA4" s="12">
        <v>2</v>
      </c>
      <c r="AB4" s="10">
        <v>1</v>
      </c>
    </row>
    <row r="5" spans="2:28" ht="49.5" customHeight="1" x14ac:dyDescent="0.2">
      <c r="B5" s="70"/>
      <c r="C5" s="27" t="s">
        <v>102</v>
      </c>
      <c r="D5" s="28" t="s">
        <v>146</v>
      </c>
      <c r="E5" s="7" t="s">
        <v>103</v>
      </c>
      <c r="F5" s="28" t="s">
        <v>146</v>
      </c>
      <c r="G5" s="7" t="s">
        <v>103</v>
      </c>
      <c r="H5" s="7" t="s">
        <v>147</v>
      </c>
      <c r="I5" s="7" t="s">
        <v>147</v>
      </c>
      <c r="J5" s="7" t="s">
        <v>148</v>
      </c>
      <c r="K5" s="7" t="s">
        <v>148</v>
      </c>
      <c r="L5" s="29" t="s">
        <v>154</v>
      </c>
      <c r="M5" s="11" t="s">
        <v>160</v>
      </c>
      <c r="N5" s="11" t="s">
        <v>163</v>
      </c>
      <c r="O5" s="11"/>
      <c r="P5" s="11"/>
      <c r="Q5" s="11"/>
      <c r="R5" s="11"/>
      <c r="S5" s="11"/>
      <c r="T5" s="9" t="s">
        <v>105</v>
      </c>
      <c r="U5" s="9" t="s">
        <v>104</v>
      </c>
      <c r="V5" s="9" t="s">
        <v>104</v>
      </c>
      <c r="W5" s="9" t="s">
        <v>104</v>
      </c>
      <c r="X5" s="9" t="s">
        <v>106</v>
      </c>
      <c r="Y5" s="12" t="s">
        <v>25</v>
      </c>
      <c r="Z5" s="12" t="s">
        <v>107</v>
      </c>
      <c r="AA5" s="12" t="s">
        <v>107</v>
      </c>
      <c r="AB5" s="10" t="s">
        <v>107</v>
      </c>
    </row>
    <row r="6" spans="2:28" ht="57.75" customHeight="1" x14ac:dyDescent="0.2">
      <c r="B6" s="70"/>
      <c r="C6" s="27" t="s">
        <v>123</v>
      </c>
      <c r="D6" s="7" t="s">
        <v>115</v>
      </c>
      <c r="E6" s="7" t="s">
        <v>124</v>
      </c>
      <c r="F6" s="7" t="s">
        <v>115</v>
      </c>
      <c r="G6" s="7" t="s">
        <v>124</v>
      </c>
      <c r="H6" s="7"/>
      <c r="I6" s="7"/>
      <c r="J6" s="7"/>
      <c r="K6" s="7"/>
      <c r="L6" s="7" t="s">
        <v>124</v>
      </c>
      <c r="M6" s="7" t="s">
        <v>158</v>
      </c>
      <c r="N6" s="11"/>
      <c r="O6" s="11"/>
      <c r="P6" s="11"/>
      <c r="Q6" s="11"/>
      <c r="R6" s="11"/>
      <c r="S6" s="11"/>
      <c r="T6" s="9"/>
      <c r="U6" s="9"/>
      <c r="V6" s="9"/>
      <c r="W6" s="9"/>
      <c r="X6" s="9"/>
      <c r="Y6" s="12"/>
      <c r="Z6" s="12"/>
      <c r="AA6" s="12"/>
      <c r="AB6" s="10"/>
    </row>
    <row r="7" spans="2:28" ht="57.75" customHeight="1" x14ac:dyDescent="0.2">
      <c r="B7" s="70"/>
      <c r="C7" s="27" t="s">
        <v>116</v>
      </c>
      <c r="D7" s="7" t="s">
        <v>117</v>
      </c>
      <c r="E7" s="7" t="s">
        <v>117</v>
      </c>
      <c r="F7" s="7" t="s">
        <v>117</v>
      </c>
      <c r="G7" s="7" t="s">
        <v>117</v>
      </c>
      <c r="H7" s="7" t="s">
        <v>118</v>
      </c>
      <c r="I7" s="7" t="s">
        <v>118</v>
      </c>
      <c r="J7" s="7" t="s">
        <v>119</v>
      </c>
      <c r="K7" s="7" t="s">
        <v>119</v>
      </c>
      <c r="L7" s="7" t="s">
        <v>117</v>
      </c>
      <c r="M7" s="11" t="s">
        <v>157</v>
      </c>
      <c r="N7" s="11" t="s">
        <v>118</v>
      </c>
      <c r="O7" s="11" t="s">
        <v>167</v>
      </c>
      <c r="P7" s="11" t="s">
        <v>176</v>
      </c>
      <c r="Q7" s="11" t="s">
        <v>176</v>
      </c>
      <c r="R7" s="11" t="s">
        <v>180</v>
      </c>
      <c r="S7" s="11"/>
      <c r="T7" s="9">
        <v>1</v>
      </c>
      <c r="U7" s="9">
        <v>1</v>
      </c>
      <c r="V7" s="9">
        <v>1</v>
      </c>
      <c r="W7" s="9">
        <v>1</v>
      </c>
      <c r="X7" s="9">
        <v>1</v>
      </c>
      <c r="Y7" s="12">
        <v>1</v>
      </c>
      <c r="Z7" s="12">
        <v>2</v>
      </c>
      <c r="AA7" s="12">
        <v>2</v>
      </c>
      <c r="AB7" s="10">
        <v>1</v>
      </c>
    </row>
    <row r="8" spans="2:28" ht="57.75" customHeight="1" x14ac:dyDescent="0.2">
      <c r="B8" s="70"/>
      <c r="C8" s="27" t="s">
        <v>150</v>
      </c>
      <c r="D8" s="7" t="s">
        <v>129</v>
      </c>
      <c r="E8" s="7" t="s">
        <v>109</v>
      </c>
      <c r="F8" s="7" t="s">
        <v>129</v>
      </c>
      <c r="G8" s="7" t="s">
        <v>109</v>
      </c>
      <c r="H8" s="7" t="s">
        <v>130</v>
      </c>
      <c r="I8" s="7" t="s">
        <v>130</v>
      </c>
      <c r="J8" s="7" t="s">
        <v>131</v>
      </c>
      <c r="K8" s="7" t="s">
        <v>131</v>
      </c>
      <c r="L8" s="7" t="s">
        <v>155</v>
      </c>
      <c r="M8" s="11">
        <v>1</v>
      </c>
      <c r="N8" s="11">
        <v>1</v>
      </c>
      <c r="O8" s="11"/>
      <c r="P8" s="11"/>
      <c r="Q8" s="40" t="s">
        <v>178</v>
      </c>
      <c r="R8" s="11"/>
      <c r="S8" s="11"/>
      <c r="T8" s="9">
        <v>1</v>
      </c>
      <c r="U8" s="9">
        <v>1</v>
      </c>
      <c r="V8" s="9">
        <v>1</v>
      </c>
      <c r="W8" s="9">
        <v>1</v>
      </c>
      <c r="X8" s="9">
        <v>1</v>
      </c>
      <c r="Y8" s="12">
        <v>1</v>
      </c>
      <c r="Z8" s="12">
        <v>2</v>
      </c>
      <c r="AA8" s="12">
        <v>2</v>
      </c>
      <c r="AB8" s="10">
        <v>1</v>
      </c>
    </row>
    <row r="9" spans="2:28" ht="57.75" customHeight="1" x14ac:dyDescent="0.2">
      <c r="B9" s="70"/>
      <c r="C9" s="27" t="s">
        <v>128</v>
      </c>
      <c r="D9" s="7" t="s">
        <v>121</v>
      </c>
      <c r="E9" s="7" t="s">
        <v>109</v>
      </c>
      <c r="F9" s="7" t="s">
        <v>121</v>
      </c>
      <c r="G9" s="7" t="s">
        <v>121</v>
      </c>
      <c r="H9" s="7" t="s">
        <v>34</v>
      </c>
      <c r="I9" s="7" t="s">
        <v>34</v>
      </c>
      <c r="J9" s="6" t="s">
        <v>110</v>
      </c>
      <c r="K9" s="6" t="s">
        <v>110</v>
      </c>
      <c r="L9" s="7" t="s">
        <v>155</v>
      </c>
      <c r="M9" s="11">
        <v>1</v>
      </c>
      <c r="N9" s="11"/>
      <c r="O9" s="11"/>
      <c r="P9" s="11"/>
      <c r="Q9" s="11"/>
      <c r="R9" s="11"/>
      <c r="S9" s="11"/>
      <c r="T9" s="9">
        <v>1</v>
      </c>
      <c r="U9" s="9">
        <v>1</v>
      </c>
      <c r="V9" s="9">
        <v>1</v>
      </c>
      <c r="W9" s="9">
        <v>1</v>
      </c>
      <c r="X9" s="9">
        <v>1</v>
      </c>
      <c r="Y9" s="12">
        <v>1</v>
      </c>
      <c r="Z9" s="12">
        <v>2</v>
      </c>
      <c r="AA9" s="12">
        <v>2</v>
      </c>
      <c r="AB9" s="10">
        <v>1</v>
      </c>
    </row>
    <row r="10" spans="2:28" ht="57.75" customHeight="1" x14ac:dyDescent="0.2">
      <c r="B10" s="70"/>
      <c r="C10" s="27" t="s">
        <v>112</v>
      </c>
      <c r="D10" s="7" t="s">
        <v>120</v>
      </c>
      <c r="E10" s="7" t="s">
        <v>120</v>
      </c>
      <c r="F10" s="7" t="s">
        <v>120</v>
      </c>
      <c r="G10" s="7" t="s">
        <v>120</v>
      </c>
      <c r="H10" s="7" t="s">
        <v>122</v>
      </c>
      <c r="I10" s="7" t="s">
        <v>122</v>
      </c>
      <c r="J10" s="7" t="s">
        <v>122</v>
      </c>
      <c r="K10" s="7" t="s">
        <v>122</v>
      </c>
      <c r="L10" s="7"/>
      <c r="M10" s="11" t="s">
        <v>28</v>
      </c>
      <c r="N10" s="11"/>
      <c r="O10" s="11"/>
      <c r="P10" s="11"/>
      <c r="Q10" s="11"/>
      <c r="R10" s="11"/>
      <c r="S10" s="11"/>
      <c r="T10" s="9"/>
      <c r="U10" s="9"/>
      <c r="V10" s="9"/>
      <c r="W10" s="9"/>
      <c r="X10" s="9"/>
      <c r="Y10" s="12"/>
      <c r="Z10" s="12"/>
      <c r="AA10" s="12"/>
      <c r="AB10" s="10"/>
    </row>
    <row r="11" spans="2:28" ht="30" customHeight="1" x14ac:dyDescent="0.2">
      <c r="B11" s="71" t="s">
        <v>17</v>
      </c>
      <c r="C11" s="27" t="s">
        <v>152</v>
      </c>
      <c r="D11" s="7" t="s">
        <v>24</v>
      </c>
      <c r="E11" s="7" t="s">
        <v>24</v>
      </c>
      <c r="F11" s="7" t="s">
        <v>27</v>
      </c>
      <c r="G11" s="7" t="s">
        <v>27</v>
      </c>
      <c r="H11" s="6" t="s">
        <v>26</v>
      </c>
      <c r="I11" s="7" t="s">
        <v>27</v>
      </c>
      <c r="J11" s="6" t="s">
        <v>27</v>
      </c>
      <c r="K11" s="6" t="s">
        <v>27</v>
      </c>
      <c r="L11" s="7" t="s">
        <v>156</v>
      </c>
      <c r="M11" s="8" t="s">
        <v>29</v>
      </c>
      <c r="N11" s="8" t="s">
        <v>165</v>
      </c>
      <c r="O11" s="8" t="s">
        <v>168</v>
      </c>
      <c r="P11" s="8"/>
      <c r="Q11" s="8" t="s">
        <v>179</v>
      </c>
      <c r="R11" s="8" t="s">
        <v>27</v>
      </c>
      <c r="S11" s="8"/>
      <c r="T11" s="9" t="s">
        <v>30</v>
      </c>
      <c r="U11" s="9" t="s">
        <v>31</v>
      </c>
      <c r="V11" s="9" t="s">
        <v>31</v>
      </c>
      <c r="W11" s="9" t="s">
        <v>32</v>
      </c>
      <c r="X11" s="9" t="s">
        <v>26</v>
      </c>
      <c r="Y11" s="10" t="s">
        <v>33</v>
      </c>
      <c r="Z11" s="10" t="s">
        <v>33</v>
      </c>
      <c r="AA11" s="10" t="s">
        <v>33</v>
      </c>
      <c r="AB11" s="10" t="s">
        <v>33</v>
      </c>
    </row>
    <row r="12" spans="2:28" ht="30" customHeight="1" x14ac:dyDescent="0.2">
      <c r="B12" s="71"/>
      <c r="C12" s="27" t="s">
        <v>136</v>
      </c>
      <c r="D12" s="30">
        <v>2</v>
      </c>
      <c r="E12" s="13">
        <v>1</v>
      </c>
      <c r="F12" s="30">
        <v>4</v>
      </c>
      <c r="G12" s="13">
        <v>2</v>
      </c>
      <c r="H12" s="13">
        <v>1</v>
      </c>
      <c r="I12" s="13">
        <v>2</v>
      </c>
      <c r="J12" s="30">
        <v>2</v>
      </c>
      <c r="K12" s="30">
        <v>2</v>
      </c>
      <c r="L12" s="17">
        <v>2</v>
      </c>
      <c r="M12" s="14">
        <v>0.125</v>
      </c>
      <c r="N12" s="14">
        <v>1</v>
      </c>
      <c r="O12" s="14">
        <v>0.25</v>
      </c>
      <c r="P12" s="39">
        <f>P16*2/1024</f>
        <v>0.5859375</v>
      </c>
      <c r="Q12" s="39">
        <f>Q16*4/1024</f>
        <v>4.39453125</v>
      </c>
      <c r="R12" s="14">
        <v>4</v>
      </c>
      <c r="S12" s="14">
        <f>0.125*S$1</f>
        <v>1</v>
      </c>
      <c r="T12" s="3" t="s">
        <v>20</v>
      </c>
      <c r="U12" s="3" t="s">
        <v>18</v>
      </c>
      <c r="V12" s="4" t="s">
        <v>18</v>
      </c>
      <c r="W12" s="4" t="s">
        <v>21</v>
      </c>
      <c r="X12" s="3" t="s">
        <v>22</v>
      </c>
      <c r="Y12" s="5" t="s">
        <v>19</v>
      </c>
      <c r="Z12" s="5" t="s">
        <v>23</v>
      </c>
      <c r="AA12" s="5" t="s">
        <v>23</v>
      </c>
      <c r="AB12" s="31" t="s">
        <v>19</v>
      </c>
    </row>
    <row r="13" spans="2:28" ht="30" customHeight="1" x14ac:dyDescent="0.2">
      <c r="B13" s="71"/>
      <c r="C13" s="27" t="s">
        <v>138</v>
      </c>
      <c r="D13" s="7">
        <v>81</v>
      </c>
      <c r="E13" s="32">
        <v>40</v>
      </c>
      <c r="F13" s="7">
        <v>120</v>
      </c>
      <c r="G13" s="32">
        <v>58</v>
      </c>
      <c r="H13" s="7">
        <v>96</v>
      </c>
      <c r="I13" s="7">
        <v>110</v>
      </c>
      <c r="J13" s="7">
        <v>121</v>
      </c>
      <c r="K13" s="7">
        <v>121</v>
      </c>
      <c r="L13" s="7">
        <v>121</v>
      </c>
      <c r="M13" s="11">
        <v>78</v>
      </c>
      <c r="N13" s="37">
        <f>N12*1024/6.7</f>
        <v>152.83582089552237</v>
      </c>
      <c r="O13" s="11">
        <v>95</v>
      </c>
      <c r="P13" s="11">
        <v>100</v>
      </c>
      <c r="Q13" s="11">
        <v>600</v>
      </c>
      <c r="R13" s="37">
        <f>R12*1024/R22</f>
        <v>292.57142857142856</v>
      </c>
      <c r="S13" s="37">
        <f>4.8*3.2*S$1</f>
        <v>122.88</v>
      </c>
      <c r="T13" s="9" t="s">
        <v>90</v>
      </c>
      <c r="U13" s="9" t="s">
        <v>91</v>
      </c>
      <c r="V13" s="9" t="s">
        <v>92</v>
      </c>
      <c r="W13" s="9" t="s">
        <v>25</v>
      </c>
      <c r="X13" s="12" t="s">
        <v>93</v>
      </c>
      <c r="Y13" s="16" t="s">
        <v>94</v>
      </c>
      <c r="Z13" s="16" t="s">
        <v>95</v>
      </c>
      <c r="AA13" s="16" t="s">
        <v>95</v>
      </c>
      <c r="AB13" s="10" t="s">
        <v>96</v>
      </c>
    </row>
    <row r="14" spans="2:28" ht="30" customHeight="1" x14ac:dyDescent="0.2">
      <c r="B14" s="71"/>
      <c r="C14" s="27" t="s">
        <v>35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37</v>
      </c>
      <c r="I14" s="7" t="s">
        <v>37</v>
      </c>
      <c r="J14" s="7" t="s">
        <v>37</v>
      </c>
      <c r="K14" s="7" t="s">
        <v>37</v>
      </c>
      <c r="L14" s="7" t="s">
        <v>36</v>
      </c>
      <c r="M14" s="11" t="s">
        <v>159</v>
      </c>
      <c r="N14" s="11"/>
      <c r="O14" s="11"/>
      <c r="P14" s="11"/>
      <c r="Q14" s="11"/>
      <c r="R14" s="11"/>
      <c r="S14" s="11"/>
      <c r="T14" s="9" t="s">
        <v>37</v>
      </c>
      <c r="U14" s="9" t="s">
        <v>37</v>
      </c>
      <c r="V14" s="9" t="s">
        <v>38</v>
      </c>
      <c r="W14" s="9" t="s">
        <v>39</v>
      </c>
      <c r="X14" s="9" t="s">
        <v>36</v>
      </c>
      <c r="Y14" s="12" t="s">
        <v>36</v>
      </c>
      <c r="Z14" s="12" t="s">
        <v>36</v>
      </c>
      <c r="AA14" s="12" t="s">
        <v>36</v>
      </c>
      <c r="AB14" s="10" t="s">
        <v>36</v>
      </c>
    </row>
    <row r="15" spans="2:28" ht="75.75" customHeight="1" x14ac:dyDescent="0.2">
      <c r="B15" s="71"/>
      <c r="C15" s="27" t="s">
        <v>133</v>
      </c>
      <c r="D15" s="7" t="s">
        <v>43</v>
      </c>
      <c r="E15" s="7" t="s">
        <v>40</v>
      </c>
      <c r="F15" s="7" t="s">
        <v>43</v>
      </c>
      <c r="G15" s="7" t="s">
        <v>40</v>
      </c>
      <c r="H15" s="7" t="s">
        <v>41</v>
      </c>
      <c r="I15" s="7" t="s">
        <v>41</v>
      </c>
      <c r="J15" s="7" t="s">
        <v>41</v>
      </c>
      <c r="K15" s="7" t="s">
        <v>41</v>
      </c>
      <c r="L15" s="7" t="s">
        <v>42</v>
      </c>
      <c r="M15" s="11" t="s">
        <v>44</v>
      </c>
      <c r="N15" s="11" t="s">
        <v>171</v>
      </c>
      <c r="O15" s="11" t="s">
        <v>170</v>
      </c>
      <c r="P15" s="11" t="s">
        <v>177</v>
      </c>
      <c r="Q15" s="11" t="s">
        <v>177</v>
      </c>
      <c r="R15" s="11"/>
      <c r="S15" s="11"/>
      <c r="T15" s="9" t="s">
        <v>45</v>
      </c>
      <c r="U15" s="9" t="s">
        <v>45</v>
      </c>
      <c r="V15" s="9" t="s">
        <v>41</v>
      </c>
      <c r="W15" s="9" t="s">
        <v>41</v>
      </c>
      <c r="X15" s="9" t="s">
        <v>46</v>
      </c>
      <c r="Y15" s="12" t="s">
        <v>47</v>
      </c>
      <c r="Z15" s="12" t="s">
        <v>48</v>
      </c>
      <c r="AA15" s="12" t="s">
        <v>48</v>
      </c>
      <c r="AB15" s="10" t="s">
        <v>47</v>
      </c>
    </row>
    <row r="16" spans="2:28" ht="78" customHeight="1" x14ac:dyDescent="0.2">
      <c r="B16" s="63" t="s">
        <v>49</v>
      </c>
      <c r="C16" s="27" t="s">
        <v>134</v>
      </c>
      <c r="D16" s="7">
        <v>1</v>
      </c>
      <c r="E16" s="7">
        <v>2</v>
      </c>
      <c r="F16" s="7">
        <v>1</v>
      </c>
      <c r="G16" s="7">
        <v>2</v>
      </c>
      <c r="H16" s="33">
        <v>2</v>
      </c>
      <c r="I16" s="33">
        <v>2</v>
      </c>
      <c r="J16" s="33">
        <v>4</v>
      </c>
      <c r="K16" s="33">
        <v>4</v>
      </c>
      <c r="L16" s="7">
        <v>16</v>
      </c>
      <c r="M16" s="11">
        <v>128</v>
      </c>
      <c r="N16" s="11">
        <f>1024/32</f>
        <v>32</v>
      </c>
      <c r="O16" s="11">
        <f>O12*1024/8</f>
        <v>32</v>
      </c>
      <c r="P16" s="11">
        <v>300</v>
      </c>
      <c r="Q16" s="11">
        <v>1125</v>
      </c>
      <c r="R16" s="11">
        <f>R12*8/1*8</f>
        <v>256</v>
      </c>
      <c r="S16" s="11">
        <f>4*S$1</f>
        <v>32</v>
      </c>
      <c r="T16" s="9">
        <v>32</v>
      </c>
      <c r="U16" s="9">
        <v>32</v>
      </c>
      <c r="V16" s="9" t="s">
        <v>52</v>
      </c>
      <c r="W16" s="9" t="s">
        <v>53</v>
      </c>
      <c r="X16" s="9">
        <v>8</v>
      </c>
      <c r="Y16" s="12">
        <v>16</v>
      </c>
      <c r="Z16" s="12" t="s">
        <v>54</v>
      </c>
      <c r="AA16" s="12" t="s">
        <v>55</v>
      </c>
      <c r="AB16" s="10" t="s">
        <v>56</v>
      </c>
    </row>
    <row r="17" spans="2:32" ht="78" customHeight="1" x14ac:dyDescent="0.2">
      <c r="B17" s="63"/>
      <c r="C17" s="27" t="s">
        <v>50</v>
      </c>
      <c r="D17" s="7">
        <v>16</v>
      </c>
      <c r="E17" s="7">
        <v>8</v>
      </c>
      <c r="F17" s="7" t="s">
        <v>51</v>
      </c>
      <c r="G17" s="7">
        <v>16</v>
      </c>
      <c r="H17" s="33">
        <v>32</v>
      </c>
      <c r="I17" s="33">
        <v>32</v>
      </c>
      <c r="J17" s="33">
        <v>32</v>
      </c>
      <c r="K17" s="33">
        <v>32</v>
      </c>
      <c r="L17" s="7">
        <v>16</v>
      </c>
      <c r="M17" s="11">
        <v>128</v>
      </c>
      <c r="N17" s="11"/>
      <c r="O17" s="11"/>
      <c r="P17" s="11"/>
      <c r="Q17" s="11"/>
      <c r="R17" s="11"/>
      <c r="S17" s="11"/>
      <c r="T17" s="9">
        <v>32</v>
      </c>
      <c r="U17" s="9">
        <v>32</v>
      </c>
      <c r="V17" s="9" t="s">
        <v>52</v>
      </c>
      <c r="W17" s="9" t="s">
        <v>53</v>
      </c>
      <c r="X17" s="9">
        <v>8</v>
      </c>
      <c r="Y17" s="12">
        <v>16</v>
      </c>
      <c r="Z17" s="12" t="s">
        <v>54</v>
      </c>
      <c r="AA17" s="12" t="s">
        <v>55</v>
      </c>
      <c r="AB17" s="10" t="s">
        <v>56</v>
      </c>
    </row>
    <row r="18" spans="2:32" ht="86.25" customHeight="1" x14ac:dyDescent="0.2">
      <c r="B18" s="63"/>
      <c r="C18" s="27" t="s">
        <v>57</v>
      </c>
      <c r="D18" s="7">
        <v>16</v>
      </c>
      <c r="E18" s="7">
        <v>16</v>
      </c>
      <c r="F18" s="7">
        <v>32</v>
      </c>
      <c r="G18" s="7">
        <v>32</v>
      </c>
      <c r="H18" s="7">
        <v>64</v>
      </c>
      <c r="I18" s="7">
        <v>64</v>
      </c>
      <c r="J18" s="7">
        <v>128</v>
      </c>
      <c r="K18" s="7">
        <v>128</v>
      </c>
      <c r="L18" s="7">
        <v>32</v>
      </c>
      <c r="M18" s="11">
        <v>128</v>
      </c>
      <c r="N18" s="11"/>
      <c r="O18" s="11"/>
      <c r="P18" s="11"/>
      <c r="Q18" s="11"/>
      <c r="R18" s="11"/>
      <c r="S18" s="11"/>
      <c r="T18" s="9">
        <v>256</v>
      </c>
      <c r="U18" s="9">
        <v>256</v>
      </c>
      <c r="V18" s="9">
        <v>256</v>
      </c>
      <c r="W18" s="9" t="s">
        <v>58</v>
      </c>
      <c r="X18" s="9">
        <v>64</v>
      </c>
      <c r="Y18" s="12">
        <v>64</v>
      </c>
      <c r="Z18" s="12" t="s">
        <v>59</v>
      </c>
      <c r="AA18" s="12" t="s">
        <v>60</v>
      </c>
      <c r="AB18" s="10">
        <v>64</v>
      </c>
    </row>
    <row r="19" spans="2:32" ht="30" customHeight="1" x14ac:dyDescent="0.2">
      <c r="B19" s="63"/>
      <c r="C19" s="27" t="s">
        <v>151</v>
      </c>
      <c r="D19" s="7">
        <v>200</v>
      </c>
      <c r="E19" s="7">
        <v>200</v>
      </c>
      <c r="F19" s="7">
        <v>200</v>
      </c>
      <c r="G19" s="7">
        <v>200</v>
      </c>
      <c r="H19" s="7">
        <v>600</v>
      </c>
      <c r="I19" s="7" t="s">
        <v>61</v>
      </c>
      <c r="J19" s="6">
        <v>4000</v>
      </c>
      <c r="K19" s="6">
        <v>4000</v>
      </c>
      <c r="L19" s="7">
        <v>1000</v>
      </c>
      <c r="M19" s="11">
        <v>1600</v>
      </c>
      <c r="N19" s="11">
        <v>1600</v>
      </c>
      <c r="O19" s="11">
        <v>1600</v>
      </c>
      <c r="P19" s="11"/>
      <c r="Q19" s="11"/>
      <c r="R19" s="11"/>
      <c r="S19" s="11"/>
      <c r="T19" s="9">
        <v>1000</v>
      </c>
      <c r="U19" s="9">
        <v>1000</v>
      </c>
      <c r="V19" s="9">
        <v>600</v>
      </c>
      <c r="W19" s="9" t="s">
        <v>25</v>
      </c>
      <c r="X19" s="9">
        <v>200</v>
      </c>
      <c r="Y19" s="12" t="s">
        <v>25</v>
      </c>
      <c r="Z19" s="12" t="s">
        <v>62</v>
      </c>
      <c r="AA19" s="12" t="s">
        <v>63</v>
      </c>
      <c r="AB19" s="10" t="s">
        <v>64</v>
      </c>
    </row>
    <row r="20" spans="2:32" ht="30" customHeight="1" x14ac:dyDescent="0.2">
      <c r="B20" s="63" t="s">
        <v>65</v>
      </c>
      <c r="C20" s="27" t="s">
        <v>142</v>
      </c>
      <c r="D20" s="13">
        <v>16</v>
      </c>
      <c r="E20" s="13">
        <v>16</v>
      </c>
      <c r="F20" s="13">
        <v>16</v>
      </c>
      <c r="G20" s="13">
        <v>16</v>
      </c>
      <c r="H20" s="13">
        <v>1024</v>
      </c>
      <c r="I20" s="13">
        <v>1024</v>
      </c>
      <c r="J20" s="17">
        <v>256</v>
      </c>
      <c r="K20" s="17">
        <v>1024</v>
      </c>
      <c r="L20" s="13">
        <v>32</v>
      </c>
      <c r="M20" s="14">
        <v>128</v>
      </c>
      <c r="N20" s="14">
        <f>512*N16</f>
        <v>16384</v>
      </c>
      <c r="O20" s="14">
        <f>512*O16</f>
        <v>16384</v>
      </c>
      <c r="P20" s="14">
        <f>128*P16</f>
        <v>38400</v>
      </c>
      <c r="Q20" s="14">
        <f>64*Q16</f>
        <v>72000</v>
      </c>
      <c r="R20" s="14">
        <f>512*R16</f>
        <v>131072</v>
      </c>
      <c r="S20" s="14">
        <f>128*S16</f>
        <v>4096</v>
      </c>
      <c r="T20" s="3" t="s">
        <v>67</v>
      </c>
      <c r="U20" s="3" t="s">
        <v>66</v>
      </c>
      <c r="V20" s="3" t="s">
        <v>66</v>
      </c>
      <c r="W20" s="3" t="s">
        <v>68</v>
      </c>
      <c r="X20" s="5" t="s">
        <v>67</v>
      </c>
      <c r="Y20" s="5" t="s">
        <v>67</v>
      </c>
      <c r="Z20" s="5" t="s">
        <v>69</v>
      </c>
      <c r="AA20" s="5" t="s">
        <v>69</v>
      </c>
      <c r="AB20" s="31" t="s">
        <v>70</v>
      </c>
    </row>
    <row r="21" spans="2:32" ht="33" customHeight="1" x14ac:dyDescent="0.2">
      <c r="B21" s="63"/>
      <c r="C21" s="27" t="s">
        <v>143</v>
      </c>
      <c r="D21" s="13">
        <v>3.2</v>
      </c>
      <c r="E21" s="13">
        <v>3.2</v>
      </c>
      <c r="F21" s="13">
        <v>8.4</v>
      </c>
      <c r="G21" s="13">
        <v>6.4</v>
      </c>
      <c r="H21" s="13">
        <v>2.4</v>
      </c>
      <c r="I21" s="13">
        <v>3.6</v>
      </c>
      <c r="J21" s="13">
        <v>8</v>
      </c>
      <c r="K21" s="13">
        <v>8</v>
      </c>
      <c r="L21" s="13">
        <v>24</v>
      </c>
      <c r="M21" s="14">
        <v>6.4</v>
      </c>
      <c r="N21" s="14">
        <v>1.6</v>
      </c>
      <c r="O21" s="14">
        <v>1.6</v>
      </c>
      <c r="P21" s="14">
        <v>0.5</v>
      </c>
      <c r="Q21" s="14">
        <v>0.5</v>
      </c>
      <c r="R21" s="14">
        <v>0.25</v>
      </c>
      <c r="S21" s="14">
        <v>2</v>
      </c>
      <c r="T21" s="15">
        <v>2</v>
      </c>
      <c r="U21" s="15">
        <v>2</v>
      </c>
      <c r="V21" s="3" t="s">
        <v>86</v>
      </c>
      <c r="W21" s="3" t="s">
        <v>87</v>
      </c>
      <c r="X21" s="5" t="s">
        <v>88</v>
      </c>
      <c r="Y21" s="5">
        <v>2</v>
      </c>
      <c r="Z21" s="5" t="s">
        <v>89</v>
      </c>
      <c r="AA21" s="5" t="s">
        <v>89</v>
      </c>
      <c r="AB21" s="31">
        <v>2</v>
      </c>
    </row>
    <row r="22" spans="2:32" ht="40.5" customHeight="1" x14ac:dyDescent="0.2">
      <c r="B22" s="63" t="s">
        <v>149</v>
      </c>
      <c r="C22" s="27" t="s">
        <v>139</v>
      </c>
      <c r="D22" s="22">
        <f t="shared" ref="D22:I22" si="0">D12*1024/D13</f>
        <v>25.283950617283949</v>
      </c>
      <c r="E22" s="22">
        <f t="shared" si="0"/>
        <v>25.6</v>
      </c>
      <c r="F22" s="22">
        <f>F12*1024/F13</f>
        <v>34.133333333333333</v>
      </c>
      <c r="G22" s="22">
        <f t="shared" si="0"/>
        <v>35.310344827586206</v>
      </c>
      <c r="H22" s="22">
        <f t="shared" si="0"/>
        <v>10.666666666666666</v>
      </c>
      <c r="I22" s="22">
        <f t="shared" si="0"/>
        <v>18.618181818181817</v>
      </c>
      <c r="J22" s="22">
        <f t="shared" ref="J22:Q22" si="1">J12*1024/J13</f>
        <v>16.925619834710744</v>
      </c>
      <c r="K22" s="22">
        <f t="shared" ref="K22" si="2">K12*1024/K13</f>
        <v>16.925619834710744</v>
      </c>
      <c r="L22" s="22">
        <f t="shared" si="1"/>
        <v>16.925619834710744</v>
      </c>
      <c r="M22" s="22">
        <f t="shared" si="1"/>
        <v>1.641025641025641</v>
      </c>
      <c r="N22" s="22">
        <f t="shared" si="1"/>
        <v>6.7</v>
      </c>
      <c r="O22" s="22">
        <f t="shared" si="1"/>
        <v>2.6947368421052631</v>
      </c>
      <c r="P22" s="22">
        <f t="shared" si="1"/>
        <v>6</v>
      </c>
      <c r="Q22" s="22">
        <f t="shared" si="1"/>
        <v>7.5</v>
      </c>
      <c r="R22" s="14">
        <v>14</v>
      </c>
      <c r="S22" s="41">
        <f>S12*1024/S13</f>
        <v>8.3333333333333339</v>
      </c>
      <c r="T22" s="15"/>
      <c r="U22" s="15"/>
      <c r="V22" s="3"/>
      <c r="W22" s="3"/>
      <c r="X22" s="5"/>
      <c r="Y22" s="5"/>
      <c r="Z22" s="5"/>
      <c r="AA22" s="5"/>
      <c r="AB22" s="31"/>
    </row>
    <row r="23" spans="2:32" ht="30" customHeight="1" x14ac:dyDescent="0.2">
      <c r="B23" s="63"/>
      <c r="C23" s="27" t="s">
        <v>135</v>
      </c>
      <c r="D23" s="7">
        <f t="shared" ref="D23:M23" si="3">D21*D20/8</f>
        <v>6.4</v>
      </c>
      <c r="E23" s="7">
        <f t="shared" si="3"/>
        <v>6.4</v>
      </c>
      <c r="F23" s="7">
        <f t="shared" si="3"/>
        <v>16.8</v>
      </c>
      <c r="G23" s="7">
        <f t="shared" si="3"/>
        <v>12.8</v>
      </c>
      <c r="H23" s="34">
        <f t="shared" si="3"/>
        <v>307.2</v>
      </c>
      <c r="I23" s="34">
        <f t="shared" si="3"/>
        <v>460.8</v>
      </c>
      <c r="J23" s="7">
        <f t="shared" si="3"/>
        <v>256</v>
      </c>
      <c r="K23" s="7">
        <f t="shared" ref="K23" si="4">K21*K20/8</f>
        <v>1024</v>
      </c>
      <c r="L23" s="7">
        <f t="shared" si="3"/>
        <v>96</v>
      </c>
      <c r="M23" s="34">
        <f t="shared" si="3"/>
        <v>102.4</v>
      </c>
      <c r="N23" s="34">
        <f>N21*N20/8</f>
        <v>3276.8</v>
      </c>
      <c r="O23" s="34">
        <f>O21*O20/8*2</f>
        <v>6553.6</v>
      </c>
      <c r="P23" s="34">
        <f>P21*P20/8</f>
        <v>2400</v>
      </c>
      <c r="Q23" s="34">
        <f>Q21*Q20/8</f>
        <v>4500</v>
      </c>
      <c r="R23" s="34">
        <f>R21*R20/8</f>
        <v>4096</v>
      </c>
      <c r="S23" s="34">
        <f>S21*S20/8</f>
        <v>1024</v>
      </c>
      <c r="T23" s="9" t="s">
        <v>71</v>
      </c>
      <c r="U23" s="9" t="s">
        <v>72</v>
      </c>
      <c r="V23" s="9" t="s">
        <v>73</v>
      </c>
      <c r="W23" s="9" t="s">
        <v>74</v>
      </c>
      <c r="X23" s="12" t="s">
        <v>75</v>
      </c>
      <c r="Y23" s="12" t="s">
        <v>73</v>
      </c>
      <c r="Z23" s="12">
        <v>100</v>
      </c>
      <c r="AA23" s="12">
        <v>100</v>
      </c>
      <c r="AB23" s="10">
        <v>128</v>
      </c>
    </row>
    <row r="24" spans="2:32" ht="30" customHeight="1" x14ac:dyDescent="0.2">
      <c r="B24" s="63"/>
      <c r="C24" s="27" t="s">
        <v>137</v>
      </c>
      <c r="D24" s="7">
        <f t="shared" ref="D24:R24" si="5">D23/D12</f>
        <v>3.2</v>
      </c>
      <c r="E24" s="7">
        <f t="shared" si="5"/>
        <v>6.4</v>
      </c>
      <c r="F24" s="7">
        <f t="shared" si="5"/>
        <v>4.2</v>
      </c>
      <c r="G24" s="7">
        <f t="shared" si="5"/>
        <v>6.4</v>
      </c>
      <c r="H24" s="7">
        <f t="shared" si="5"/>
        <v>307.2</v>
      </c>
      <c r="I24" s="7">
        <f t="shared" si="5"/>
        <v>230.4</v>
      </c>
      <c r="J24" s="7">
        <f>J23/J12</f>
        <v>128</v>
      </c>
      <c r="K24" s="7">
        <f t="shared" ref="K24" si="6">K23/K12</f>
        <v>512</v>
      </c>
      <c r="L24" s="7">
        <f t="shared" si="5"/>
        <v>48</v>
      </c>
      <c r="M24" s="34">
        <f t="shared" si="5"/>
        <v>819.2</v>
      </c>
      <c r="N24" s="34">
        <f t="shared" si="5"/>
        <v>3276.8</v>
      </c>
      <c r="O24" s="34">
        <f t="shared" si="5"/>
        <v>26214.400000000001</v>
      </c>
      <c r="P24" s="34">
        <f t="shared" si="5"/>
        <v>4096</v>
      </c>
      <c r="Q24" s="34">
        <f t="shared" si="5"/>
        <v>1024</v>
      </c>
      <c r="R24" s="34">
        <f t="shared" si="5"/>
        <v>1024</v>
      </c>
      <c r="S24" s="34">
        <f>S23/S12</f>
        <v>1024</v>
      </c>
      <c r="T24" s="9" t="s">
        <v>73</v>
      </c>
      <c r="U24" s="9" t="s">
        <v>72</v>
      </c>
      <c r="V24" s="9" t="s">
        <v>76</v>
      </c>
      <c r="W24" s="9" t="s">
        <v>77</v>
      </c>
      <c r="X24" s="12" t="s">
        <v>78</v>
      </c>
      <c r="Y24" s="12" t="s">
        <v>25</v>
      </c>
      <c r="Z24" s="12" t="s">
        <v>25</v>
      </c>
      <c r="AA24" s="12" t="s">
        <v>25</v>
      </c>
      <c r="AB24" s="10" t="s">
        <v>25</v>
      </c>
    </row>
    <row r="25" spans="2:32" ht="54" customHeight="1" x14ac:dyDescent="0.2">
      <c r="B25" s="63"/>
      <c r="C25" s="27" t="s">
        <v>140</v>
      </c>
      <c r="D25" s="35">
        <f t="shared" ref="D25:N25" si="7">D24*D22/1024</f>
        <v>7.9012345679012344E-2</v>
      </c>
      <c r="E25" s="35">
        <f t="shared" si="7"/>
        <v>0.16000000000000003</v>
      </c>
      <c r="F25" s="35">
        <f t="shared" si="7"/>
        <v>0.14000000000000001</v>
      </c>
      <c r="G25" s="35">
        <f t="shared" si="7"/>
        <v>0.22068965517241379</v>
      </c>
      <c r="H25" s="38">
        <f t="shared" si="7"/>
        <v>3.1999999999999997</v>
      </c>
      <c r="I25" s="38">
        <f t="shared" si="7"/>
        <v>4.1890909090909094</v>
      </c>
      <c r="J25" s="38">
        <f t="shared" si="7"/>
        <v>2.115702479338843</v>
      </c>
      <c r="K25" s="38">
        <f t="shared" ref="K25" si="8">K24*K22/1024</f>
        <v>8.4628099173553721</v>
      </c>
      <c r="L25" s="38">
        <f t="shared" si="7"/>
        <v>0.79338842975206614</v>
      </c>
      <c r="M25" s="38">
        <f t="shared" si="7"/>
        <v>1.3128205128205128</v>
      </c>
      <c r="N25" s="22">
        <f t="shared" si="7"/>
        <v>21.44</v>
      </c>
      <c r="O25" s="22">
        <f>O24*O22/1024</f>
        <v>68.985263157894735</v>
      </c>
      <c r="P25" s="22">
        <f>P24*P22/1024</f>
        <v>24</v>
      </c>
      <c r="Q25" s="22">
        <f>Q24*Q22/1024</f>
        <v>7.5</v>
      </c>
      <c r="R25" s="22">
        <f>R24*R22/1024</f>
        <v>14</v>
      </c>
      <c r="S25" s="22">
        <f>S24*S22/1024</f>
        <v>8.3333333333333339</v>
      </c>
      <c r="T25" s="3" t="s">
        <v>79</v>
      </c>
      <c r="U25" s="3" t="s">
        <v>80</v>
      </c>
      <c r="V25" s="3" t="s">
        <v>81</v>
      </c>
      <c r="W25" s="3" t="s">
        <v>82</v>
      </c>
      <c r="X25" s="5" t="s">
        <v>83</v>
      </c>
      <c r="Y25" s="5" t="s">
        <v>84</v>
      </c>
      <c r="Z25" s="5" t="s">
        <v>85</v>
      </c>
      <c r="AA25" s="5" t="s">
        <v>85</v>
      </c>
      <c r="AB25" s="31" t="s">
        <v>85</v>
      </c>
    </row>
    <row r="26" spans="2:32" ht="38.25" customHeight="1" x14ac:dyDescent="0.2">
      <c r="B26" s="63"/>
      <c r="C26" s="27" t="s">
        <v>141</v>
      </c>
      <c r="D26" s="13">
        <v>28</v>
      </c>
      <c r="E26" s="13">
        <v>36</v>
      </c>
      <c r="F26" s="13">
        <v>33</v>
      </c>
      <c r="G26" s="13">
        <v>36</v>
      </c>
      <c r="H26" s="13">
        <v>34</v>
      </c>
      <c r="I26" s="13">
        <v>34</v>
      </c>
      <c r="J26" s="13">
        <v>34</v>
      </c>
      <c r="K26" s="13">
        <v>34</v>
      </c>
      <c r="L26" s="17">
        <v>30</v>
      </c>
      <c r="M26" s="14">
        <v>13</v>
      </c>
      <c r="N26" s="14">
        <v>15</v>
      </c>
      <c r="O26" s="14">
        <v>3</v>
      </c>
      <c r="P26" s="14">
        <v>15</v>
      </c>
      <c r="Q26" s="14">
        <v>15</v>
      </c>
      <c r="R26" s="14">
        <v>15</v>
      </c>
      <c r="S26" s="14">
        <v>32</v>
      </c>
      <c r="T26" s="3" t="s">
        <v>100</v>
      </c>
      <c r="U26" s="3" t="s">
        <v>100</v>
      </c>
      <c r="V26" s="3" t="s">
        <v>98</v>
      </c>
      <c r="W26" s="3" t="s">
        <v>99</v>
      </c>
      <c r="X26" s="3" t="s">
        <v>101</v>
      </c>
      <c r="Y26" s="5" t="s">
        <v>97</v>
      </c>
      <c r="Z26" s="5" t="s">
        <v>25</v>
      </c>
      <c r="AA26" s="5" t="s">
        <v>25</v>
      </c>
      <c r="AB26" s="31" t="s">
        <v>97</v>
      </c>
    </row>
    <row r="27" spans="2:32" ht="39" customHeight="1" x14ac:dyDescent="0.2">
      <c r="B27" s="63"/>
      <c r="C27" s="27" t="s">
        <v>144</v>
      </c>
      <c r="D27" s="13">
        <v>18</v>
      </c>
      <c r="E27" s="18">
        <v>7.8</v>
      </c>
      <c r="F27" s="13">
        <v>16</v>
      </c>
      <c r="G27" s="18">
        <v>5</v>
      </c>
      <c r="H27" s="13">
        <v>6.4</v>
      </c>
      <c r="I27" s="13">
        <v>7.2</v>
      </c>
      <c r="J27" s="13">
        <v>3.7</v>
      </c>
      <c r="K27" s="13">
        <v>3.7</v>
      </c>
      <c r="L27" s="13">
        <v>16</v>
      </c>
      <c r="M27" s="13">
        <v>10</v>
      </c>
      <c r="N27" s="14">
        <v>0.8</v>
      </c>
      <c r="O27" s="14">
        <v>0.23</v>
      </c>
      <c r="P27" s="14">
        <v>0.5</v>
      </c>
      <c r="Q27" s="14">
        <v>0.7</v>
      </c>
      <c r="R27" s="14">
        <v>0.96</v>
      </c>
      <c r="S27" s="14">
        <v>1.5</v>
      </c>
      <c r="T27" s="3"/>
      <c r="U27" s="3"/>
      <c r="V27" s="3"/>
      <c r="W27" s="3"/>
      <c r="X27" s="5"/>
      <c r="Y27" s="19"/>
      <c r="Z27" s="19"/>
      <c r="AA27" s="19"/>
      <c r="AB27" s="31"/>
      <c r="AE27">
        <f>44*8</f>
        <v>352</v>
      </c>
      <c r="AF27">
        <f>AE27/40</f>
        <v>8.8000000000000007</v>
      </c>
    </row>
    <row r="28" spans="2:32" ht="94" customHeight="1" x14ac:dyDescent="0.2">
      <c r="B28" s="63"/>
      <c r="C28" s="27" t="s">
        <v>145</v>
      </c>
      <c r="D28" s="22">
        <f t="shared" ref="D28:N28" si="9">D27*10^-12*D25*8*10^9*10^3</f>
        <v>11.377777777777776</v>
      </c>
      <c r="E28" s="22">
        <f t="shared" si="9"/>
        <v>9.9840000000000018</v>
      </c>
      <c r="F28" s="22">
        <f t="shared" si="9"/>
        <v>17.920000000000002</v>
      </c>
      <c r="G28" s="22">
        <f t="shared" si="9"/>
        <v>8.8275862068965516</v>
      </c>
      <c r="H28" s="22">
        <f t="shared" si="9"/>
        <v>163.84</v>
      </c>
      <c r="I28" s="22">
        <f t="shared" si="9"/>
        <v>241.2916363636364</v>
      </c>
      <c r="J28" s="22">
        <f t="shared" si="9"/>
        <v>62.624793388429758</v>
      </c>
      <c r="K28" s="22">
        <f t="shared" ref="K28" si="10">K27*10^-12*K25*8*10^9*10^3</f>
        <v>250.49917355371903</v>
      </c>
      <c r="L28" s="22">
        <f t="shared" si="9"/>
        <v>101.55371900826447</v>
      </c>
      <c r="M28" s="22">
        <f t="shared" si="9"/>
        <v>105.02564102564102</v>
      </c>
      <c r="N28" s="22">
        <f t="shared" si="9"/>
        <v>137.21600000000001</v>
      </c>
      <c r="O28" s="22">
        <f>O27*10^-12*O25*8*10^9*10^3</f>
        <v>126.93288421052634</v>
      </c>
      <c r="P28" s="22">
        <f>P27*10^-12*P25*8*10^9*10^3</f>
        <v>96</v>
      </c>
      <c r="Q28" s="22">
        <f>Q27*10^-12*Q25*8*10^9*10^3</f>
        <v>41.999999999999993</v>
      </c>
      <c r="R28" s="22">
        <f>R27*10^-12*R25*8*10^9*10^3</f>
        <v>107.52</v>
      </c>
      <c r="S28" s="22">
        <f>S27*10^-12*S25*8*10^9*10^3</f>
        <v>100.00000000000001</v>
      </c>
      <c r="T28" s="3"/>
      <c r="U28" s="3"/>
      <c r="V28" s="3"/>
      <c r="W28" s="3"/>
      <c r="X28" s="3"/>
      <c r="Y28" s="5"/>
      <c r="Z28" s="20"/>
      <c r="AA28" s="20"/>
      <c r="AB28" s="36"/>
      <c r="AE28">
        <f>42*8</f>
        <v>336</v>
      </c>
      <c r="AF28">
        <f>AE28/40</f>
        <v>8.4</v>
      </c>
    </row>
    <row r="29" spans="2:32" x14ac:dyDescent="0.2">
      <c r="B29" s="21"/>
    </row>
  </sheetData>
  <mergeCells count="9">
    <mergeCell ref="B22:B28"/>
    <mergeCell ref="B2:C2"/>
    <mergeCell ref="D2:L2"/>
    <mergeCell ref="M2:S2"/>
    <mergeCell ref="T2:AB2"/>
    <mergeCell ref="B20:B21"/>
    <mergeCell ref="B4:B10"/>
    <mergeCell ref="B11:B15"/>
    <mergeCell ref="B16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CA97-DE21-FD43-BBBC-0531965EA0AB}">
  <dimension ref="B1:M37"/>
  <sheetViews>
    <sheetView topLeftCell="A9" workbookViewId="0">
      <selection activeCell="B24" sqref="B24:M34"/>
    </sheetView>
  </sheetViews>
  <sheetFormatPr baseColWidth="10" defaultColWidth="8.83203125" defaultRowHeight="16" x14ac:dyDescent="0.2"/>
  <cols>
    <col min="1" max="1" width="1.83203125" customWidth="1"/>
    <col min="2" max="2" width="32.33203125" bestFit="1" customWidth="1"/>
    <col min="3" max="13" width="10.83203125" customWidth="1"/>
    <col min="15" max="15" width="29.5" customWidth="1"/>
  </cols>
  <sheetData>
    <row r="1" spans="2:13" ht="8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>
        <v>8</v>
      </c>
    </row>
    <row r="2" spans="2:13" x14ac:dyDescent="0.2">
      <c r="B2" s="42"/>
      <c r="C2" s="67" t="s">
        <v>190</v>
      </c>
      <c r="D2" s="67"/>
      <c r="E2" s="67"/>
      <c r="F2" s="67"/>
      <c r="G2" s="73" t="s">
        <v>162</v>
      </c>
      <c r="H2" s="67"/>
      <c r="I2" s="67"/>
      <c r="J2" s="67"/>
      <c r="K2" s="67"/>
      <c r="L2" s="67"/>
      <c r="M2" s="67"/>
    </row>
    <row r="3" spans="2:13" ht="34" x14ac:dyDescent="0.2">
      <c r="B3" s="43" t="s">
        <v>2</v>
      </c>
      <c r="C3" s="44" t="s">
        <v>125</v>
      </c>
      <c r="D3" s="43" t="s">
        <v>4</v>
      </c>
      <c r="E3" s="44" t="s">
        <v>7</v>
      </c>
      <c r="F3" s="44" t="s">
        <v>153</v>
      </c>
      <c r="G3" s="44" t="s">
        <v>184</v>
      </c>
      <c r="H3" s="44" t="s">
        <v>185</v>
      </c>
      <c r="I3" s="43" t="s">
        <v>166</v>
      </c>
      <c r="J3" s="56" t="s">
        <v>199</v>
      </c>
      <c r="K3" s="56" t="s">
        <v>198</v>
      </c>
      <c r="L3" s="43" t="s">
        <v>186</v>
      </c>
      <c r="M3" s="43" t="s">
        <v>187</v>
      </c>
    </row>
    <row r="4" spans="2:13" ht="17" x14ac:dyDescent="0.2">
      <c r="B4" s="45" t="s">
        <v>200</v>
      </c>
      <c r="C4" s="46" t="s">
        <v>117</v>
      </c>
      <c r="D4" s="46" t="s">
        <v>117</v>
      </c>
      <c r="E4" s="46" t="s">
        <v>189</v>
      </c>
      <c r="F4" s="46" t="s">
        <v>117</v>
      </c>
      <c r="G4" s="47" t="s">
        <v>157</v>
      </c>
      <c r="H4" s="47" t="s">
        <v>196</v>
      </c>
      <c r="I4" s="47" t="s">
        <v>197</v>
      </c>
      <c r="J4" s="47" t="s">
        <v>176</v>
      </c>
      <c r="K4" s="47" t="s">
        <v>176</v>
      </c>
      <c r="L4" s="47" t="s">
        <v>176</v>
      </c>
      <c r="M4" s="47" t="s">
        <v>176</v>
      </c>
    </row>
    <row r="5" spans="2:13" ht="34" x14ac:dyDescent="0.2">
      <c r="B5" s="45" t="s">
        <v>152</v>
      </c>
      <c r="C5" s="48" t="s">
        <v>27</v>
      </c>
      <c r="D5" s="48" t="s">
        <v>27</v>
      </c>
      <c r="E5" s="48" t="s">
        <v>27</v>
      </c>
      <c r="F5" s="48" t="s">
        <v>27</v>
      </c>
      <c r="G5" s="51" t="s">
        <v>201</v>
      </c>
      <c r="H5" s="51" t="s">
        <v>201</v>
      </c>
      <c r="I5" s="51" t="s">
        <v>168</v>
      </c>
      <c r="J5" s="51" t="s">
        <v>202</v>
      </c>
      <c r="K5" s="51" t="s">
        <v>202</v>
      </c>
      <c r="L5" s="51" t="s">
        <v>27</v>
      </c>
      <c r="M5" s="51" t="s">
        <v>27</v>
      </c>
    </row>
    <row r="6" spans="2:13" ht="17" x14ac:dyDescent="0.2">
      <c r="B6" s="45" t="s">
        <v>182</v>
      </c>
      <c r="C6" s="48">
        <v>4</v>
      </c>
      <c r="D6" s="48">
        <v>2</v>
      </c>
      <c r="E6" s="48">
        <v>2</v>
      </c>
      <c r="F6" s="48">
        <v>2</v>
      </c>
      <c r="G6" s="51">
        <v>0.125</v>
      </c>
      <c r="H6" s="51">
        <v>1</v>
      </c>
      <c r="I6" s="51">
        <v>0.25</v>
      </c>
      <c r="J6" s="52">
        <v>0.5859375</v>
      </c>
      <c r="K6" s="52">
        <v>4.39453125</v>
      </c>
      <c r="L6" s="51">
        <v>4</v>
      </c>
      <c r="M6" s="51">
        <v>1</v>
      </c>
    </row>
    <row r="7" spans="2:13" ht="20" x14ac:dyDescent="0.2">
      <c r="B7" s="45" t="s">
        <v>191</v>
      </c>
      <c r="C7" s="48">
        <v>120</v>
      </c>
      <c r="D7" s="48">
        <v>58</v>
      </c>
      <c r="E7" s="48">
        <v>121</v>
      </c>
      <c r="F7" s="48">
        <v>121</v>
      </c>
      <c r="G7" s="51">
        <v>78</v>
      </c>
      <c r="H7" s="53">
        <v>152.83582089552237</v>
      </c>
      <c r="I7" s="51">
        <v>95</v>
      </c>
      <c r="J7" s="51">
        <v>100</v>
      </c>
      <c r="K7" s="51">
        <v>600</v>
      </c>
      <c r="L7" s="53">
        <v>292.57142857142856</v>
      </c>
      <c r="M7" s="53">
        <v>122.88</v>
      </c>
    </row>
    <row r="8" spans="2:13" ht="17" x14ac:dyDescent="0.2">
      <c r="B8" s="45" t="s">
        <v>133</v>
      </c>
      <c r="C8" s="48" t="s">
        <v>43</v>
      </c>
      <c r="D8" s="48" t="s">
        <v>40</v>
      </c>
      <c r="E8" s="48" t="s">
        <v>7</v>
      </c>
      <c r="F8" s="48" t="s">
        <v>42</v>
      </c>
      <c r="G8" s="51" t="s">
        <v>169</v>
      </c>
      <c r="H8" s="51" t="s">
        <v>171</v>
      </c>
      <c r="I8" s="51" t="s">
        <v>169</v>
      </c>
      <c r="J8" s="51" t="s">
        <v>177</v>
      </c>
      <c r="K8" s="51" t="s">
        <v>177</v>
      </c>
      <c r="L8" s="51" t="s">
        <v>171</v>
      </c>
      <c r="M8" s="51" t="s">
        <v>171</v>
      </c>
    </row>
    <row r="9" spans="2:13" ht="17" x14ac:dyDescent="0.2">
      <c r="B9" s="45" t="s">
        <v>134</v>
      </c>
      <c r="C9" s="48">
        <v>1</v>
      </c>
      <c r="D9" s="48">
        <v>2</v>
      </c>
      <c r="E9" s="48">
        <v>4</v>
      </c>
      <c r="F9" s="48">
        <v>16</v>
      </c>
      <c r="G9" s="51">
        <v>128</v>
      </c>
      <c r="H9" s="51">
        <v>32</v>
      </c>
      <c r="I9" s="51">
        <v>32</v>
      </c>
      <c r="J9" s="51">
        <v>300</v>
      </c>
      <c r="K9" s="51">
        <v>1125</v>
      </c>
      <c r="L9" s="51">
        <v>256</v>
      </c>
      <c r="M9" s="51">
        <v>32</v>
      </c>
    </row>
    <row r="10" spans="2:13" ht="17" x14ac:dyDescent="0.2">
      <c r="B10" s="45" t="s">
        <v>142</v>
      </c>
      <c r="C10" s="48">
        <v>16</v>
      </c>
      <c r="D10" s="48">
        <v>16</v>
      </c>
      <c r="E10" s="48">
        <v>128</v>
      </c>
      <c r="F10" s="48">
        <v>32</v>
      </c>
      <c r="G10" s="51">
        <v>128</v>
      </c>
      <c r="H10" s="51">
        <v>16384</v>
      </c>
      <c r="I10" s="51">
        <v>16384</v>
      </c>
      <c r="J10" s="51">
        <v>38400</v>
      </c>
      <c r="K10" s="51">
        <v>72000</v>
      </c>
      <c r="L10" s="51">
        <v>131072</v>
      </c>
      <c r="M10" s="51">
        <v>4096</v>
      </c>
    </row>
    <row r="11" spans="2:13" ht="17" x14ac:dyDescent="0.2">
      <c r="B11" s="45" t="s">
        <v>143</v>
      </c>
      <c r="C11" s="48">
        <v>8.4</v>
      </c>
      <c r="D11" s="48">
        <v>6.4</v>
      </c>
      <c r="E11" s="48">
        <v>8</v>
      </c>
      <c r="F11" s="48">
        <v>24</v>
      </c>
      <c r="G11" s="51">
        <v>6.4</v>
      </c>
      <c r="H11" s="51">
        <v>1.6</v>
      </c>
      <c r="I11" s="51">
        <v>1.6</v>
      </c>
      <c r="J11" s="51">
        <v>0.5</v>
      </c>
      <c r="K11" s="51">
        <v>0.5</v>
      </c>
      <c r="L11" s="51">
        <v>0.25</v>
      </c>
      <c r="M11" s="51">
        <v>2</v>
      </c>
    </row>
    <row r="12" spans="2:13" ht="17" x14ac:dyDescent="0.2">
      <c r="B12" s="45" t="s">
        <v>135</v>
      </c>
      <c r="C12" s="48">
        <v>16.8</v>
      </c>
      <c r="D12" s="48">
        <v>12.8</v>
      </c>
      <c r="E12" s="48">
        <v>128</v>
      </c>
      <c r="F12" s="48">
        <v>96</v>
      </c>
      <c r="G12" s="54">
        <v>102.4</v>
      </c>
      <c r="H12" s="54">
        <v>3276.8</v>
      </c>
      <c r="I12" s="54">
        <v>6553.6</v>
      </c>
      <c r="J12" s="54">
        <v>2400</v>
      </c>
      <c r="K12" s="54">
        <v>4500</v>
      </c>
      <c r="L12" s="54">
        <v>4096</v>
      </c>
      <c r="M12" s="54">
        <v>1024</v>
      </c>
    </row>
    <row r="13" spans="2:13" ht="20" x14ac:dyDescent="0.2">
      <c r="B13" s="45" t="s">
        <v>195</v>
      </c>
      <c r="C13" s="55">
        <v>0.13333333333333333</v>
      </c>
      <c r="D13" s="55">
        <v>0.27586206896551724</v>
      </c>
      <c r="E13" s="55">
        <v>8.4628099173553721</v>
      </c>
      <c r="F13" s="55">
        <v>0.26446280991735538</v>
      </c>
      <c r="G13" s="55">
        <v>1.641025641025641</v>
      </c>
      <c r="H13" s="55">
        <v>107.2</v>
      </c>
      <c r="I13" s="55">
        <f>172.463157894737*2</f>
        <v>344.92631578947402</v>
      </c>
      <c r="J13" s="55">
        <v>384</v>
      </c>
      <c r="K13" s="55">
        <v>120</v>
      </c>
      <c r="L13" s="55">
        <v>448</v>
      </c>
      <c r="M13" s="55">
        <v>33.333333333333336</v>
      </c>
    </row>
    <row r="14" spans="2:13" ht="17" x14ac:dyDescent="0.2">
      <c r="B14" s="45" t="s">
        <v>188</v>
      </c>
      <c r="C14" s="48"/>
      <c r="D14" s="48"/>
      <c r="E14" s="48"/>
      <c r="F14" s="48"/>
      <c r="G14" s="54"/>
      <c r="H14" s="54">
        <v>68.294795588519122</v>
      </c>
      <c r="I14" s="54">
        <v>43.963393271182639</v>
      </c>
      <c r="J14" s="54">
        <v>36.084391824351606</v>
      </c>
      <c r="K14" s="54">
        <v>64.54972243679029</v>
      </c>
      <c r="L14" s="54">
        <v>33.407655239053049</v>
      </c>
      <c r="M14" s="54">
        <v>122.47448713915891</v>
      </c>
    </row>
    <row r="15" spans="2:13" x14ac:dyDescent="0.2">
      <c r="B15" s="42"/>
      <c r="C15" s="67" t="s">
        <v>190</v>
      </c>
      <c r="D15" s="67"/>
      <c r="E15" s="67"/>
      <c r="F15" s="67"/>
      <c r="G15" s="72" t="s">
        <v>162</v>
      </c>
      <c r="H15" s="67"/>
      <c r="I15" s="67"/>
      <c r="J15" s="67"/>
      <c r="K15" s="67"/>
      <c r="L15" s="67"/>
      <c r="M15" s="67"/>
    </row>
    <row r="16" spans="2:13" ht="34" x14ac:dyDescent="0.2">
      <c r="B16" s="56" t="s">
        <v>203</v>
      </c>
      <c r="C16" s="56" t="s">
        <v>125</v>
      </c>
      <c r="D16" s="56" t="s">
        <v>4</v>
      </c>
      <c r="E16" s="56" t="s">
        <v>7</v>
      </c>
      <c r="F16" s="56" t="s">
        <v>153</v>
      </c>
      <c r="G16" s="56" t="s">
        <v>184</v>
      </c>
      <c r="H16" s="56" t="s">
        <v>185</v>
      </c>
      <c r="I16" s="56" t="s">
        <v>166</v>
      </c>
      <c r="J16" s="56" t="s">
        <v>199</v>
      </c>
      <c r="K16" s="56" t="s">
        <v>198</v>
      </c>
      <c r="L16" s="56" t="s">
        <v>186</v>
      </c>
      <c r="M16" s="56" t="s">
        <v>187</v>
      </c>
    </row>
    <row r="17" spans="2:13" ht="20" x14ac:dyDescent="0.2">
      <c r="B17" s="49" t="s">
        <v>192</v>
      </c>
      <c r="C17" s="57">
        <v>34.133333333333333</v>
      </c>
      <c r="D17" s="57">
        <v>35.310344827586206</v>
      </c>
      <c r="E17" s="57">
        <v>16.925619834710744</v>
      </c>
      <c r="F17" s="57">
        <v>16.925619834710744</v>
      </c>
      <c r="G17" s="57">
        <v>1.641025641025641</v>
      </c>
      <c r="H17" s="57">
        <v>6.7</v>
      </c>
      <c r="I17" s="57">
        <v>2.6947368421052631</v>
      </c>
      <c r="J17" s="57">
        <v>6</v>
      </c>
      <c r="K17" s="57">
        <v>7.5</v>
      </c>
      <c r="L17" s="58">
        <v>14</v>
      </c>
      <c r="M17" s="59">
        <v>8.3333333333333339</v>
      </c>
    </row>
    <row r="18" spans="2:13" ht="17" x14ac:dyDescent="0.2">
      <c r="B18" s="49" t="s">
        <v>137</v>
      </c>
      <c r="C18" s="50">
        <v>4.2</v>
      </c>
      <c r="D18" s="50">
        <v>6.4</v>
      </c>
      <c r="E18" s="50">
        <f>512/4</f>
        <v>128</v>
      </c>
      <c r="F18" s="50">
        <v>48</v>
      </c>
      <c r="G18" s="60">
        <v>819.2</v>
      </c>
      <c r="H18" s="60">
        <v>3276.8</v>
      </c>
      <c r="I18" s="60">
        <v>26214.400000000001</v>
      </c>
      <c r="J18" s="60">
        <v>4096</v>
      </c>
      <c r="K18" s="60">
        <v>1024</v>
      </c>
      <c r="L18" s="60">
        <v>1024</v>
      </c>
      <c r="M18" s="60">
        <v>1024</v>
      </c>
    </row>
    <row r="19" spans="2:13" ht="20" x14ac:dyDescent="0.2">
      <c r="B19" s="49" t="s">
        <v>193</v>
      </c>
      <c r="C19" s="61">
        <v>0.14000000000000001</v>
      </c>
      <c r="D19" s="61">
        <v>0.22068965517241379</v>
      </c>
      <c r="E19" s="62">
        <f>8.46280991735537/4</f>
        <v>2.1157024793388426</v>
      </c>
      <c r="F19" s="62">
        <v>0.79338842975206614</v>
      </c>
      <c r="G19" s="62">
        <v>1.3128205128205128</v>
      </c>
      <c r="H19" s="57">
        <v>21.44</v>
      </c>
      <c r="I19" s="57">
        <v>68.985263157894735</v>
      </c>
      <c r="J19" s="57">
        <v>24</v>
      </c>
      <c r="K19" s="57">
        <v>7.5</v>
      </c>
      <c r="L19" s="57">
        <v>14</v>
      </c>
      <c r="M19" s="57">
        <v>8.3333333333333339</v>
      </c>
    </row>
    <row r="20" spans="2:13" ht="17" x14ac:dyDescent="0.2">
      <c r="B20" s="49" t="s">
        <v>183</v>
      </c>
      <c r="C20" s="50">
        <v>33</v>
      </c>
      <c r="D20" s="50">
        <v>36</v>
      </c>
      <c r="E20" s="50">
        <v>34</v>
      </c>
      <c r="F20" s="50">
        <v>30</v>
      </c>
      <c r="G20" s="58">
        <v>13</v>
      </c>
      <c r="H20" s="58">
        <v>15</v>
      </c>
      <c r="I20" s="58">
        <v>3</v>
      </c>
      <c r="J20" s="58">
        <v>15</v>
      </c>
      <c r="K20" s="58">
        <v>15</v>
      </c>
      <c r="L20" s="58">
        <v>15</v>
      </c>
      <c r="M20" s="58">
        <v>32</v>
      </c>
    </row>
    <row r="21" spans="2:13" ht="17" x14ac:dyDescent="0.2">
      <c r="B21" s="49" t="s">
        <v>144</v>
      </c>
      <c r="C21" s="50">
        <v>16</v>
      </c>
      <c r="D21" s="50">
        <v>5</v>
      </c>
      <c r="E21" s="50">
        <v>3.7</v>
      </c>
      <c r="F21" s="50">
        <v>16</v>
      </c>
      <c r="G21" s="50">
        <v>10</v>
      </c>
      <c r="H21" s="58">
        <v>0.8</v>
      </c>
      <c r="I21" s="58">
        <v>0.23</v>
      </c>
      <c r="J21" s="58">
        <v>0.5</v>
      </c>
      <c r="K21" s="58">
        <v>0.7</v>
      </c>
      <c r="L21" s="58">
        <v>0.96</v>
      </c>
      <c r="M21" s="58">
        <v>1.5</v>
      </c>
    </row>
    <row r="22" spans="2:13" ht="20" x14ac:dyDescent="0.2">
      <c r="B22" s="49" t="s">
        <v>194</v>
      </c>
      <c r="C22" s="57">
        <v>17.920000000000002</v>
      </c>
      <c r="D22" s="57">
        <v>8.8275862068965516</v>
      </c>
      <c r="E22" s="57">
        <f>250.499173553719</f>
        <v>250.499173553719</v>
      </c>
      <c r="F22" s="57">
        <v>101.55371900826447</v>
      </c>
      <c r="G22" s="57">
        <v>105.02564102564102</v>
      </c>
      <c r="H22" s="57">
        <v>137.21600000000001</v>
      </c>
      <c r="I22" s="57">
        <v>126.93288421052634</v>
      </c>
      <c r="J22" s="57">
        <v>96</v>
      </c>
      <c r="K22" s="57">
        <v>41.999999999999993</v>
      </c>
      <c r="L22" s="57">
        <v>107.52</v>
      </c>
      <c r="M22" s="57">
        <v>100.00000000000001</v>
      </c>
    </row>
    <row r="23" spans="2:13" x14ac:dyDescent="0.2">
      <c r="B23" s="42"/>
      <c r="C23" s="67" t="s">
        <v>190</v>
      </c>
      <c r="D23" s="67"/>
      <c r="E23" s="67"/>
      <c r="F23" s="67"/>
      <c r="G23" s="72" t="s">
        <v>162</v>
      </c>
      <c r="H23" s="67"/>
      <c r="I23" s="67"/>
      <c r="J23" s="67"/>
      <c r="K23" s="67"/>
      <c r="L23" s="67"/>
      <c r="M23" s="67"/>
    </row>
    <row r="24" spans="2:13" ht="34" x14ac:dyDescent="0.2">
      <c r="B24" s="56" t="s">
        <v>207</v>
      </c>
      <c r="C24" s="56" t="s">
        <v>125</v>
      </c>
      <c r="D24" s="56" t="s">
        <v>4</v>
      </c>
      <c r="E24" s="56" t="s">
        <v>7</v>
      </c>
      <c r="F24" s="56" t="s">
        <v>153</v>
      </c>
      <c r="G24" s="56" t="s">
        <v>184</v>
      </c>
      <c r="H24" s="56" t="s">
        <v>185</v>
      </c>
      <c r="I24" s="56" t="s">
        <v>166</v>
      </c>
      <c r="J24" s="56" t="s">
        <v>199</v>
      </c>
      <c r="K24" s="56" t="s">
        <v>198</v>
      </c>
      <c r="L24" s="56" t="s">
        <v>186</v>
      </c>
      <c r="M24" s="56" t="s">
        <v>187</v>
      </c>
    </row>
    <row r="25" spans="2:13" ht="17" customHeight="1" x14ac:dyDescent="0.2">
      <c r="B25" s="81" t="s">
        <v>204</v>
      </c>
      <c r="C25" s="75">
        <f>C17*100/1024</f>
        <v>3.3333333333333335</v>
      </c>
      <c r="D25" s="75">
        <f t="shared" ref="D25:M25" si="0">D17*100/1024</f>
        <v>3.4482758620689653</v>
      </c>
      <c r="E25" s="75">
        <f t="shared" si="0"/>
        <v>1.6528925619834711</v>
      </c>
      <c r="F25" s="75">
        <f t="shared" si="0"/>
        <v>1.6528925619834711</v>
      </c>
      <c r="G25" s="75">
        <f t="shared" si="0"/>
        <v>0.16025641025641024</v>
      </c>
      <c r="H25" s="75">
        <f t="shared" si="0"/>
        <v>0.654296875</v>
      </c>
      <c r="I25" s="75">
        <f t="shared" si="0"/>
        <v>0.26315789473684209</v>
      </c>
      <c r="J25" s="75">
        <f t="shared" si="0"/>
        <v>0.5859375</v>
      </c>
      <c r="K25" s="75">
        <f t="shared" si="0"/>
        <v>0.732421875</v>
      </c>
      <c r="L25" s="75">
        <f t="shared" si="0"/>
        <v>1.3671875</v>
      </c>
      <c r="M25" s="75">
        <f t="shared" si="0"/>
        <v>0.81380208333333337</v>
      </c>
    </row>
    <row r="26" spans="2:13" ht="17" x14ac:dyDescent="0.2">
      <c r="B26" s="82" t="s">
        <v>208</v>
      </c>
      <c r="C26" s="79" t="str">
        <f>_xlfn.CONCAT(ROUND(C25/$E25,2), "x")</f>
        <v>2.02x</v>
      </c>
      <c r="D26" s="79" t="str">
        <f>_xlfn.CONCAT(ROUND(D25/$E25,2), "x")</f>
        <v>2.09x</v>
      </c>
      <c r="E26" s="79" t="str">
        <f t="shared" ref="E26:M26" si="1">_xlfn.CONCAT(ROUND(E25/$E25,2), "x")</f>
        <v>1x</v>
      </c>
      <c r="F26" s="79" t="str">
        <f t="shared" si="1"/>
        <v>1x</v>
      </c>
      <c r="G26" s="79" t="str">
        <f t="shared" si="1"/>
        <v>0.1x</v>
      </c>
      <c r="H26" s="79" t="str">
        <f t="shared" si="1"/>
        <v>0.4x</v>
      </c>
      <c r="I26" s="79" t="str">
        <f t="shared" si="1"/>
        <v>0.16x</v>
      </c>
      <c r="J26" s="79" t="str">
        <f t="shared" si="1"/>
        <v>0.35x</v>
      </c>
      <c r="K26" s="79" t="str">
        <f t="shared" si="1"/>
        <v>0.44x</v>
      </c>
      <c r="L26" s="79" t="str">
        <f t="shared" si="1"/>
        <v>0.83x</v>
      </c>
      <c r="M26" s="79" t="str">
        <f t="shared" si="1"/>
        <v>0.49x</v>
      </c>
    </row>
    <row r="27" spans="2:13" ht="17" customHeight="1" x14ac:dyDescent="0.2">
      <c r="B27" s="81" t="s">
        <v>205</v>
      </c>
      <c r="C27" s="76">
        <f>C19*100/1000</f>
        <v>1.4000000000000002E-2</v>
      </c>
      <c r="D27" s="76">
        <f t="shared" ref="D27:M27" si="2">D19*100/1000</f>
        <v>2.2068965517241381E-2</v>
      </c>
      <c r="E27" s="76">
        <f t="shared" si="2"/>
        <v>0.21157024793388424</v>
      </c>
      <c r="F27" s="76">
        <f t="shared" si="2"/>
        <v>7.9338842975206617E-2</v>
      </c>
      <c r="G27" s="76">
        <f t="shared" si="2"/>
        <v>0.13128205128205128</v>
      </c>
      <c r="H27" s="76">
        <f t="shared" si="2"/>
        <v>2.1440000000000001</v>
      </c>
      <c r="I27" s="76">
        <f t="shared" si="2"/>
        <v>6.8985263157894732</v>
      </c>
      <c r="J27" s="76">
        <f t="shared" si="2"/>
        <v>2.4</v>
      </c>
      <c r="K27" s="76">
        <f t="shared" si="2"/>
        <v>0.75</v>
      </c>
      <c r="L27" s="76">
        <f t="shared" si="2"/>
        <v>1.4</v>
      </c>
      <c r="M27" s="76">
        <f t="shared" si="2"/>
        <v>0.83333333333333337</v>
      </c>
    </row>
    <row r="28" spans="2:13" ht="17" x14ac:dyDescent="0.2">
      <c r="B28" s="82" t="s">
        <v>208</v>
      </c>
      <c r="C28" s="79" t="str">
        <f>_xlfn.CONCAT(ROUND(C27/$E27,2), "x")</f>
        <v>0.07x</v>
      </c>
      <c r="D28" s="79" t="str">
        <f>_xlfn.CONCAT(ROUND(D27/$E27,2), "x")</f>
        <v>0.1x</v>
      </c>
      <c r="E28" s="79" t="str">
        <f>_xlfn.CONCAT(ROUND(E27/$E27,2), "x")</f>
        <v>1x</v>
      </c>
      <c r="F28" s="79" t="str">
        <f>_xlfn.CONCAT(ROUND(F27/$E27,2), "x")</f>
        <v>0.38x</v>
      </c>
      <c r="G28" s="79" t="str">
        <f>_xlfn.CONCAT(ROUND(G27/$E27,2), "x")</f>
        <v>0.62x</v>
      </c>
      <c r="H28" s="79" t="str">
        <f>_xlfn.CONCAT(ROUND(H27/$E27,2), "x")</f>
        <v>10.13x</v>
      </c>
      <c r="I28" s="79" t="str">
        <f>_xlfn.CONCAT(ROUND(I27/$E27,2), "x")</f>
        <v>32.61x</v>
      </c>
      <c r="J28" s="79" t="str">
        <f>_xlfn.CONCAT(ROUND(J27/$E27,2), "x")</f>
        <v>11.34x</v>
      </c>
      <c r="K28" s="79" t="str">
        <f>_xlfn.CONCAT(ROUND(K27/$E27,2), "x")</f>
        <v>3.54x</v>
      </c>
      <c r="L28" s="79" t="str">
        <f>_xlfn.CONCAT(ROUND(L27/$E27,2), "x")</f>
        <v>6.62x</v>
      </c>
      <c r="M28" s="79" t="str">
        <f>_xlfn.CONCAT(ROUND(M27/$E27,2), "x")</f>
        <v>3.94x</v>
      </c>
    </row>
    <row r="29" spans="2:13" ht="17" customHeight="1" x14ac:dyDescent="0.2">
      <c r="B29" s="81" t="s">
        <v>206</v>
      </c>
      <c r="C29" s="75">
        <f>C22*0.1</f>
        <v>1.7920000000000003</v>
      </c>
      <c r="D29" s="75">
        <f>D22*0.1</f>
        <v>0.88275862068965516</v>
      </c>
      <c r="E29" s="75">
        <f>E22*0.1</f>
        <v>25.049917355371903</v>
      </c>
      <c r="F29" s="75">
        <f>F22*0.1</f>
        <v>10.155371900826447</v>
      </c>
      <c r="G29" s="75">
        <f>G22*0.1</f>
        <v>10.502564102564103</v>
      </c>
      <c r="H29" s="75">
        <f>H22*0.1</f>
        <v>13.721600000000002</v>
      </c>
      <c r="I29" s="75">
        <f>I22*0.1</f>
        <v>12.693288421052635</v>
      </c>
      <c r="J29" s="75">
        <f>J22*0.1</f>
        <v>9.6000000000000014</v>
      </c>
      <c r="K29" s="75">
        <f>K22*0.1</f>
        <v>4.1999999999999993</v>
      </c>
      <c r="L29" s="75">
        <f>L22*0.1</f>
        <v>10.752000000000001</v>
      </c>
      <c r="M29" s="75">
        <f>M22*0.1</f>
        <v>10.000000000000002</v>
      </c>
    </row>
    <row r="30" spans="2:13" ht="17" x14ac:dyDescent="0.2">
      <c r="B30" s="82" t="s">
        <v>209</v>
      </c>
      <c r="C30" s="79" t="str">
        <f>_xlfn.CONCAT(ROUND(C29/$E29,2), "x")</f>
        <v>0.07x</v>
      </c>
      <c r="D30" s="79" t="str">
        <f>_xlfn.CONCAT(ROUND(D29/$E29,2), "x")</f>
        <v>0.04x</v>
      </c>
      <c r="E30" s="79" t="str">
        <f>_xlfn.CONCAT(ROUND(E29/$E29,2), "x")</f>
        <v>1x</v>
      </c>
      <c r="F30" s="79" t="str">
        <f>_xlfn.CONCAT(ROUND(F29/$E29,2), "x")</f>
        <v>0.41x</v>
      </c>
      <c r="G30" s="79" t="str">
        <f>_xlfn.CONCAT(ROUND(G29/$E29,2), "x")</f>
        <v>0.42x</v>
      </c>
      <c r="H30" s="79" t="str">
        <f>_xlfn.CONCAT(ROUND(H29/$E29,2), "x")</f>
        <v>0.55x</v>
      </c>
      <c r="I30" s="79" t="str">
        <f>_xlfn.CONCAT(ROUND(I29/$E29,2), "x")</f>
        <v>0.51x</v>
      </c>
      <c r="J30" s="79" t="str">
        <f>_xlfn.CONCAT(ROUND(J29/$E29,2), "x")</f>
        <v>0.38x</v>
      </c>
      <c r="K30" s="79" t="str">
        <f>_xlfn.CONCAT(ROUND(K29/$E29,2), "x")</f>
        <v>0.17x</v>
      </c>
      <c r="L30" s="79" t="str">
        <f>_xlfn.CONCAT(ROUND(L29/$E29,2), "x")</f>
        <v>0.43x</v>
      </c>
      <c r="M30" s="79" t="str">
        <f>_xlfn.CONCAT(ROUND(M29/$E29,2), "x")</f>
        <v>0.4x</v>
      </c>
    </row>
    <row r="31" spans="2:13" ht="17" customHeight="1" x14ac:dyDescent="0.2">
      <c r="B31" s="81" t="s">
        <v>183</v>
      </c>
      <c r="C31" s="77">
        <v>33</v>
      </c>
      <c r="D31" s="77">
        <v>36</v>
      </c>
      <c r="E31" s="77">
        <v>34</v>
      </c>
      <c r="F31" s="77">
        <v>30</v>
      </c>
      <c r="G31" s="78">
        <v>13</v>
      </c>
      <c r="H31" s="78">
        <v>15</v>
      </c>
      <c r="I31" s="78">
        <v>3</v>
      </c>
      <c r="J31" s="78">
        <v>15</v>
      </c>
      <c r="K31" s="78">
        <v>15</v>
      </c>
      <c r="L31" s="78">
        <v>15</v>
      </c>
      <c r="M31" s="78">
        <v>32</v>
      </c>
    </row>
    <row r="32" spans="2:13" ht="17" x14ac:dyDescent="0.2">
      <c r="B32" s="82" t="s">
        <v>209</v>
      </c>
      <c r="C32" s="79" t="str">
        <f>_xlfn.CONCAT(ROUND(C31/$E31,2), "x")</f>
        <v>0.97x</v>
      </c>
      <c r="D32" s="79" t="str">
        <f>_xlfn.CONCAT(ROUND(D31/$E31,2), "x")</f>
        <v>1.06x</v>
      </c>
      <c r="E32" s="79" t="str">
        <f>_xlfn.CONCAT(ROUND(E31/$E31,2), "x")</f>
        <v>1x</v>
      </c>
      <c r="F32" s="79" t="str">
        <f>_xlfn.CONCAT(ROUND(F31/$E31,2), "x")</f>
        <v>0.88x</v>
      </c>
      <c r="G32" s="79" t="str">
        <f>_xlfn.CONCAT(ROUND(G31/$E31,2), "x")</f>
        <v>0.38x</v>
      </c>
      <c r="H32" s="79" t="str">
        <f>_xlfn.CONCAT(ROUND(H31/$E31,2), "x")</f>
        <v>0.44x</v>
      </c>
      <c r="I32" s="79" t="str">
        <f>_xlfn.CONCAT(ROUND(I31/$E31,2), "x")</f>
        <v>0.09x</v>
      </c>
      <c r="J32" s="79" t="str">
        <f>_xlfn.CONCAT(ROUND(J31/$E31,2), "x")</f>
        <v>0.44x</v>
      </c>
      <c r="K32" s="79" t="str">
        <f>_xlfn.CONCAT(ROUND(K31/$E31,2), "x")</f>
        <v>0.44x</v>
      </c>
      <c r="L32" s="79" t="str">
        <f>_xlfn.CONCAT(ROUND(L31/$E31,2), "x")</f>
        <v>0.44x</v>
      </c>
      <c r="M32" s="79" t="str">
        <f>_xlfn.CONCAT(ROUND(M31/$E31,2), "x")</f>
        <v>0.94x</v>
      </c>
    </row>
    <row r="33" spans="2:13" ht="17" customHeight="1" x14ac:dyDescent="0.2">
      <c r="B33" s="81" t="s">
        <v>144</v>
      </c>
      <c r="C33" s="77">
        <v>16</v>
      </c>
      <c r="D33" s="77">
        <v>5</v>
      </c>
      <c r="E33" s="77">
        <v>3.7</v>
      </c>
      <c r="F33" s="77">
        <v>16</v>
      </c>
      <c r="G33" s="77">
        <v>10</v>
      </c>
      <c r="H33" s="78">
        <v>0.8</v>
      </c>
      <c r="I33" s="78">
        <v>0.23</v>
      </c>
      <c r="J33" s="78">
        <v>0.5</v>
      </c>
      <c r="K33" s="78">
        <v>0.7</v>
      </c>
      <c r="L33" s="78">
        <v>0.96</v>
      </c>
      <c r="M33" s="78">
        <v>1.5</v>
      </c>
    </row>
    <row r="34" spans="2:13" ht="17" x14ac:dyDescent="0.2">
      <c r="B34" s="82" t="s">
        <v>209</v>
      </c>
      <c r="C34" s="79" t="str">
        <f>_xlfn.CONCAT(ROUND(C33/$E33,2), "x")</f>
        <v>4.32x</v>
      </c>
      <c r="D34" s="79" t="str">
        <f>_xlfn.CONCAT(ROUND(D33/$E33,2), "x")</f>
        <v>1.35x</v>
      </c>
      <c r="E34" s="79" t="str">
        <f>_xlfn.CONCAT(ROUND(E33/$E33,2), "x")</f>
        <v>1x</v>
      </c>
      <c r="F34" s="79" t="str">
        <f>_xlfn.CONCAT(ROUND(F33/$E33,2), "x")</f>
        <v>4.32x</v>
      </c>
      <c r="G34" s="79" t="str">
        <f>_xlfn.CONCAT(ROUND(G33/$E33,2), "x")</f>
        <v>2.7x</v>
      </c>
      <c r="H34" s="79" t="str">
        <f>_xlfn.CONCAT(ROUND(H33/$E33,2), "x")</f>
        <v>0.22x</v>
      </c>
      <c r="I34" s="79" t="str">
        <f>_xlfn.CONCAT(ROUND(I33/$E33,2), "x")</f>
        <v>0.06x</v>
      </c>
      <c r="J34" s="79" t="str">
        <f>_xlfn.CONCAT(ROUND(J33/$E33,2), "x")</f>
        <v>0.14x</v>
      </c>
      <c r="K34" s="79" t="str">
        <f>_xlfn.CONCAT(ROUND(K33/$E33,2), "x")</f>
        <v>0.19x</v>
      </c>
      <c r="L34" s="79" t="str">
        <f>_xlfn.CONCAT(ROUND(L33/$E33,2), "x")</f>
        <v>0.26x</v>
      </c>
      <c r="M34" s="79" t="str">
        <f>_xlfn.CONCAT(ROUND(M33/$E33,2), "x")</f>
        <v>0.41x</v>
      </c>
    </row>
    <row r="37" spans="2:13" x14ac:dyDescent="0.2">
      <c r="E37" s="80"/>
    </row>
  </sheetData>
  <mergeCells count="6">
    <mergeCell ref="C15:F15"/>
    <mergeCell ref="G15:M15"/>
    <mergeCell ref="C2:F2"/>
    <mergeCell ref="G2:M2"/>
    <mergeCell ref="C23:F23"/>
    <mergeCell ref="G23:M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4151-83D3-3049-81A0-F0EFD39EC036}">
  <dimension ref="B10:F18"/>
  <sheetViews>
    <sheetView workbookViewId="0">
      <selection activeCell="D30" sqref="D30"/>
    </sheetView>
  </sheetViews>
  <sheetFormatPr baseColWidth="10" defaultRowHeight="16" x14ac:dyDescent="0.2"/>
  <cols>
    <col min="2" max="2" width="19.1640625" bestFit="1" customWidth="1"/>
    <col min="3" max="3" width="11.1640625" style="84" customWidth="1"/>
    <col min="4" max="4" width="13.1640625" style="84" customWidth="1"/>
    <col min="5" max="5" width="12.5" style="84" bestFit="1" customWidth="1"/>
    <col min="6" max="6" width="10.83203125" style="84"/>
  </cols>
  <sheetData>
    <row r="10" spans="2:6" ht="17" x14ac:dyDescent="0.2">
      <c r="B10" s="83"/>
      <c r="C10" s="74" t="s">
        <v>211</v>
      </c>
      <c r="D10" s="74" t="s">
        <v>205</v>
      </c>
      <c r="E10" s="74" t="s">
        <v>204</v>
      </c>
      <c r="F10" s="74" t="s">
        <v>206</v>
      </c>
    </row>
    <row r="11" spans="2:6" ht="17" x14ac:dyDescent="0.2">
      <c r="B11" s="83" t="s">
        <v>166</v>
      </c>
      <c r="C11" s="58">
        <v>3</v>
      </c>
      <c r="D11" s="61">
        <v>6.8985263157894732</v>
      </c>
      <c r="E11" s="57">
        <v>0.26315789473684209</v>
      </c>
      <c r="F11" s="57">
        <v>12.693288421052635</v>
      </c>
    </row>
    <row r="12" spans="2:6" ht="17" x14ac:dyDescent="0.2">
      <c r="B12" s="83" t="s">
        <v>210</v>
      </c>
      <c r="C12" s="58">
        <v>15</v>
      </c>
      <c r="D12" s="61">
        <v>2.4</v>
      </c>
      <c r="E12" s="57">
        <v>0.5859375</v>
      </c>
      <c r="F12" s="57">
        <v>9.6000000000000014</v>
      </c>
    </row>
    <row r="13" spans="2:6" ht="17" x14ac:dyDescent="0.2">
      <c r="B13" s="83" t="s">
        <v>185</v>
      </c>
      <c r="C13" s="58">
        <v>15</v>
      </c>
      <c r="D13" s="61">
        <v>2.1440000000000001</v>
      </c>
      <c r="E13" s="57">
        <v>0.654296875</v>
      </c>
      <c r="F13" s="57">
        <v>13.721600000000002</v>
      </c>
    </row>
    <row r="14" spans="2:6" ht="17" x14ac:dyDescent="0.2">
      <c r="B14" s="83" t="s">
        <v>186</v>
      </c>
      <c r="C14" s="58">
        <v>15</v>
      </c>
      <c r="D14" s="61">
        <v>1.4</v>
      </c>
      <c r="E14" s="57">
        <v>1.3671875</v>
      </c>
      <c r="F14" s="57">
        <v>10.752000000000001</v>
      </c>
    </row>
    <row r="15" spans="2:6" ht="17" x14ac:dyDescent="0.2">
      <c r="B15" s="83" t="s">
        <v>198</v>
      </c>
      <c r="C15" s="58">
        <v>15</v>
      </c>
      <c r="D15" s="61">
        <v>0.75</v>
      </c>
      <c r="E15" s="57">
        <v>0.732421875</v>
      </c>
      <c r="F15" s="57">
        <v>4.1999999999999993</v>
      </c>
    </row>
    <row r="16" spans="2:6" ht="17" x14ac:dyDescent="0.2">
      <c r="B16" s="83" t="s">
        <v>187</v>
      </c>
      <c r="C16" s="58">
        <v>32</v>
      </c>
      <c r="D16" s="61">
        <v>0.83333333333333337</v>
      </c>
      <c r="E16" s="57">
        <v>0.81380208333333337</v>
      </c>
      <c r="F16" s="57">
        <v>10.000000000000002</v>
      </c>
    </row>
    <row r="17" spans="2:6" ht="18" customHeight="1" x14ac:dyDescent="0.2">
      <c r="B17" s="83" t="s">
        <v>7</v>
      </c>
      <c r="C17" s="50">
        <v>34</v>
      </c>
      <c r="D17" s="61">
        <v>0.21157024793388424</v>
      </c>
      <c r="E17" s="57">
        <v>1.6528925619834711</v>
      </c>
      <c r="F17" s="57">
        <v>25.049917355371903</v>
      </c>
    </row>
    <row r="18" spans="2:6" ht="17" x14ac:dyDescent="0.2">
      <c r="B18" s="83" t="s">
        <v>4</v>
      </c>
      <c r="C18" s="50">
        <v>36</v>
      </c>
      <c r="D18" s="61">
        <v>2.2068965517241381E-2</v>
      </c>
      <c r="E18" s="57">
        <v>3.4482758620689653</v>
      </c>
      <c r="F18" s="57">
        <v>0.88275862068965516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Summary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2023-11-15T22:59:19Z</dcterms:created>
  <dcterms:modified xsi:type="dcterms:W3CDTF">2023-11-28T01:00:19Z</dcterms:modified>
</cp:coreProperties>
</file>