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.sharepoint.com/sites/eidetic/Shared Documents/Memory CSD 2020/Alternative IPM/Custom DRAM/"/>
    </mc:Choice>
  </mc:AlternateContent>
  <xr:revisionPtr revIDLastSave="382" documentId="8_{B8064C46-52E6-1241-9A7A-801DDBBE97BA}" xr6:coauthVersionLast="47" xr6:coauthVersionMax="47" xr10:uidLastSave="{ADED0A92-EA9D-334A-9DE3-F54295E502A1}"/>
  <bookViews>
    <workbookView xWindow="-24140" yWindow="-24000" windowWidth="38400" windowHeight="24000" activeTab="1" xr2:uid="{8FCD76F8-2084-884C-B2DF-FC09ADFAF11B}"/>
  </bookViews>
  <sheets>
    <sheet name="Physical" sheetId="1" r:id="rId1"/>
    <sheet name="Pictorial defin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28" i="1" s="1"/>
  <c r="J10" i="1"/>
  <c r="H8" i="1"/>
  <c r="I9" i="1"/>
  <c r="J8" i="1"/>
  <c r="J9" i="1"/>
  <c r="I43" i="1"/>
  <c r="I40" i="1"/>
  <c r="I37" i="1"/>
  <c r="I28" i="1" s="1"/>
  <c r="I32" i="1"/>
  <c r="I31" i="1"/>
  <c r="I34" i="1" s="1"/>
  <c r="I36" i="1" s="1"/>
  <c r="I27" i="1"/>
  <c r="I24" i="1"/>
  <c r="I15" i="1"/>
  <c r="I13" i="1"/>
  <c r="I12" i="1"/>
  <c r="I10" i="1"/>
  <c r="F37" i="1"/>
  <c r="F28" i="1" s="1"/>
  <c r="J27" i="1"/>
  <c r="G27" i="1"/>
  <c r="H9" i="1"/>
  <c r="G44" i="1"/>
  <c r="G37" i="1"/>
  <c r="G28" i="1" s="1"/>
  <c r="G34" i="1"/>
  <c r="G32" i="1"/>
  <c r="G24" i="1"/>
  <c r="G13" i="1"/>
  <c r="G12" i="1"/>
  <c r="G31" i="1" s="1"/>
  <c r="G10" i="1"/>
  <c r="G15" i="1" s="1"/>
  <c r="G16" i="1" s="1"/>
  <c r="G9" i="1"/>
  <c r="G8" i="1" s="1"/>
  <c r="F34" i="1"/>
  <c r="I33" i="1" l="1"/>
  <c r="I18" i="1"/>
  <c r="I17" i="1"/>
  <c r="I16" i="1"/>
  <c r="G33" i="1"/>
  <c r="G18" i="1"/>
  <c r="G17" i="1"/>
  <c r="J40" i="1"/>
  <c r="J32" i="1"/>
  <c r="J33" i="1" s="1"/>
  <c r="J24" i="1"/>
  <c r="J13" i="1"/>
  <c r="J12" i="1"/>
  <c r="J31" i="1" s="1"/>
  <c r="J15" i="1"/>
  <c r="J16" i="1" s="1"/>
  <c r="F9" i="1"/>
  <c r="F8" i="1" s="1"/>
  <c r="H37" i="1"/>
  <c r="H28" i="1" s="1"/>
  <c r="H33" i="1" s="1"/>
  <c r="H34" i="1"/>
  <c r="F32" i="1"/>
  <c r="F33" i="1" s="1"/>
  <c r="H27" i="1"/>
  <c r="F27" i="1"/>
  <c r="H24" i="1"/>
  <c r="F24" i="1"/>
  <c r="H13" i="1"/>
  <c r="F13" i="1"/>
  <c r="H12" i="1"/>
  <c r="H31" i="1" s="1"/>
  <c r="F12" i="1"/>
  <c r="F31" i="1" s="1"/>
  <c r="H10" i="1"/>
  <c r="H15" i="1" s="1"/>
  <c r="H16" i="1" s="1"/>
  <c r="F10" i="1"/>
  <c r="F15" i="1" s="1"/>
  <c r="F16" i="1" s="1"/>
  <c r="AD43" i="1"/>
  <c r="AD40" i="1" s="1"/>
  <c r="AD32" i="1"/>
  <c r="AD27" i="1"/>
  <c r="AD24" i="1"/>
  <c r="AD13" i="1"/>
  <c r="AD12" i="1"/>
  <c r="AD31" i="1" s="1"/>
  <c r="AD10" i="1"/>
  <c r="AD15" i="1" s="1"/>
  <c r="AD16" i="1" s="1"/>
  <c r="AD9" i="1"/>
  <c r="D27" i="1"/>
  <c r="L27" i="1"/>
  <c r="M27" i="1"/>
  <c r="O27" i="1"/>
  <c r="Q27" i="1"/>
  <c r="R27" i="1"/>
  <c r="T27" i="1"/>
  <c r="U27" i="1"/>
  <c r="W27" i="1"/>
  <c r="X27" i="1"/>
  <c r="Y27" i="1"/>
  <c r="Z27" i="1"/>
  <c r="AC27" i="1"/>
  <c r="AB27" i="1"/>
  <c r="AC43" i="1"/>
  <c r="AC40" i="1" s="1"/>
  <c r="AC12" i="1"/>
  <c r="AC31" i="1" s="1"/>
  <c r="AB12" i="1"/>
  <c r="AB31" i="1" s="1"/>
  <c r="AB43" i="1"/>
  <c r="AB37" i="1" s="1"/>
  <c r="AC32" i="1"/>
  <c r="AB32" i="1"/>
  <c r="AC24" i="1"/>
  <c r="AB24" i="1"/>
  <c r="AC13" i="1"/>
  <c r="AB13" i="1"/>
  <c r="AC10" i="1"/>
  <c r="AC15" i="1" s="1"/>
  <c r="AB10" i="1"/>
  <c r="AB15" i="1" s="1"/>
  <c r="AC9" i="1"/>
  <c r="AB9" i="1"/>
  <c r="D109" i="1"/>
  <c r="D107" i="1"/>
  <c r="D111" i="1" s="1"/>
  <c r="D103" i="1"/>
  <c r="D91" i="1"/>
  <c r="D88" i="1"/>
  <c r="D89" i="1" s="1"/>
  <c r="D80" i="1"/>
  <c r="D79" i="1"/>
  <c r="D76" i="1"/>
  <c r="D75" i="1"/>
  <c r="D81" i="1" s="1"/>
  <c r="D74" i="1"/>
  <c r="D73" i="1"/>
  <c r="AK63" i="1"/>
  <c r="D63" i="1"/>
  <c r="AK62" i="1"/>
  <c r="AH62" i="1"/>
  <c r="D62" i="1"/>
  <c r="AK61" i="1"/>
  <c r="AH61" i="1"/>
  <c r="D61" i="1"/>
  <c r="AK60" i="1"/>
  <c r="AH60" i="1"/>
  <c r="D60" i="1"/>
  <c r="AK59" i="1"/>
  <c r="AH59" i="1"/>
  <c r="D59" i="1"/>
  <c r="D56" i="1"/>
  <c r="AI47" i="1"/>
  <c r="AI48" i="1" s="1"/>
  <c r="D47" i="1"/>
  <c r="AM43" i="1"/>
  <c r="AL43" i="1"/>
  <c r="AK43" i="1"/>
  <c r="Z43" i="1"/>
  <c r="Z37" i="1" s="1"/>
  <c r="Y43" i="1"/>
  <c r="Y37" i="1" s="1"/>
  <c r="X43" i="1"/>
  <c r="X37" i="1" s="1"/>
  <c r="W43" i="1"/>
  <c r="W37" i="1" s="1"/>
  <c r="U43" i="1"/>
  <c r="T43" i="1"/>
  <c r="T37" i="1" s="1"/>
  <c r="R43" i="1"/>
  <c r="R37" i="1" s="1"/>
  <c r="Q43" i="1"/>
  <c r="Q37" i="1" s="1"/>
  <c r="O43" i="1"/>
  <c r="O37" i="1" s="1"/>
  <c r="N43" i="1"/>
  <c r="N37" i="1" s="1"/>
  <c r="M43" i="1"/>
  <c r="M37" i="1" s="1"/>
  <c r="L43" i="1"/>
  <c r="L37" i="1" s="1"/>
  <c r="U37" i="1"/>
  <c r="D37" i="1"/>
  <c r="Z34" i="1"/>
  <c r="Y34" i="1"/>
  <c r="X34" i="1"/>
  <c r="W34" i="1"/>
  <c r="U34" i="1"/>
  <c r="T34" i="1"/>
  <c r="R34" i="1"/>
  <c r="Q34" i="1"/>
  <c r="O34" i="1"/>
  <c r="N34" i="1"/>
  <c r="M34" i="1"/>
  <c r="L34" i="1"/>
  <c r="Z32" i="1"/>
  <c r="Y32" i="1"/>
  <c r="X32" i="1"/>
  <c r="W32" i="1"/>
  <c r="U32" i="1"/>
  <c r="T32" i="1"/>
  <c r="R32" i="1"/>
  <c r="Q32" i="1"/>
  <c r="O32" i="1"/>
  <c r="O33" i="1" s="1"/>
  <c r="N32" i="1"/>
  <c r="N33" i="1" s="1"/>
  <c r="M32" i="1"/>
  <c r="M33" i="1" s="1"/>
  <c r="L32" i="1"/>
  <c r="L33" i="1" s="1"/>
  <c r="D32" i="1"/>
  <c r="AM31" i="1"/>
  <c r="AM40" i="1" s="1"/>
  <c r="AM42" i="1" s="1"/>
  <c r="AL31" i="1"/>
  <c r="AL40" i="1" s="1"/>
  <c r="AL42" i="1" s="1"/>
  <c r="AK31" i="1"/>
  <c r="AK40" i="1" s="1"/>
  <c r="AK42" i="1" s="1"/>
  <c r="AI31" i="1"/>
  <c r="AI40" i="1" s="1"/>
  <c r="AI42" i="1" s="1"/>
  <c r="AI44" i="1" s="1"/>
  <c r="AH31" i="1"/>
  <c r="AH40" i="1" s="1"/>
  <c r="AH42" i="1" s="1"/>
  <c r="AH44" i="1" s="1"/>
  <c r="Z24" i="1"/>
  <c r="Y24" i="1"/>
  <c r="X24" i="1"/>
  <c r="W24" i="1"/>
  <c r="U24" i="1"/>
  <c r="T24" i="1"/>
  <c r="R24" i="1"/>
  <c r="Q24" i="1"/>
  <c r="O24" i="1"/>
  <c r="N24" i="1"/>
  <c r="M24" i="1"/>
  <c r="L24" i="1"/>
  <c r="Z13" i="1"/>
  <c r="Y13" i="1"/>
  <c r="X13" i="1"/>
  <c r="W13" i="1"/>
  <c r="U13" i="1"/>
  <c r="T13" i="1"/>
  <c r="R13" i="1"/>
  <c r="Q13" i="1"/>
  <c r="O13" i="1"/>
  <c r="N13" i="1"/>
  <c r="M13" i="1"/>
  <c r="L13" i="1"/>
  <c r="Z12" i="1"/>
  <c r="Z31" i="1" s="1"/>
  <c r="Y12" i="1"/>
  <c r="Y31" i="1" s="1"/>
  <c r="X12" i="1"/>
  <c r="X31" i="1" s="1"/>
  <c r="W12" i="1"/>
  <c r="W31" i="1" s="1"/>
  <c r="U12" i="1"/>
  <c r="U31" i="1" s="1"/>
  <c r="T12" i="1"/>
  <c r="T31" i="1" s="1"/>
  <c r="R12" i="1"/>
  <c r="R31" i="1" s="1"/>
  <c r="Q12" i="1"/>
  <c r="Q31" i="1" s="1"/>
  <c r="O12" i="1"/>
  <c r="O31" i="1" s="1"/>
  <c r="N12" i="1"/>
  <c r="N31" i="1" s="1"/>
  <c r="M12" i="1"/>
  <c r="M31" i="1" s="1"/>
  <c r="L12" i="1"/>
  <c r="L31" i="1" s="1"/>
  <c r="D12" i="1"/>
  <c r="Z10" i="1"/>
  <c r="Y10" i="1"/>
  <c r="Y15" i="1" s="1"/>
  <c r="X10" i="1"/>
  <c r="W10" i="1"/>
  <c r="W15" i="1" s="1"/>
  <c r="U10" i="1"/>
  <c r="U15" i="1" s="1"/>
  <c r="T10" i="1"/>
  <c r="R10" i="1"/>
  <c r="R15" i="1" s="1"/>
  <c r="R17" i="1" s="1"/>
  <c r="Q10" i="1"/>
  <c r="Q15" i="1" s="1"/>
  <c r="O10" i="1"/>
  <c r="O15" i="1" s="1"/>
  <c r="N10" i="1"/>
  <c r="M10" i="1"/>
  <c r="L10" i="1"/>
  <c r="L15" i="1" s="1"/>
  <c r="L17" i="1" s="1"/>
  <c r="D10" i="1"/>
  <c r="D15" i="1" s="1"/>
  <c r="AM9" i="1"/>
  <c r="AL9" i="1"/>
  <c r="AK9" i="1"/>
  <c r="AI9" i="1"/>
  <c r="AH9" i="1"/>
  <c r="Z9" i="1"/>
  <c r="Y9" i="1"/>
  <c r="X9" i="1"/>
  <c r="W9" i="1"/>
  <c r="U9" i="1"/>
  <c r="T9" i="1"/>
  <c r="R9" i="1"/>
  <c r="Q9" i="1"/>
  <c r="O9" i="1"/>
  <c r="N9" i="1"/>
  <c r="M9" i="1"/>
  <c r="L9" i="1"/>
  <c r="D9" i="1"/>
  <c r="D7" i="1"/>
  <c r="D24" i="1" s="1"/>
  <c r="J18" i="1" l="1"/>
  <c r="J17" i="1"/>
  <c r="J34" i="1"/>
  <c r="J36" i="1" s="1"/>
  <c r="F44" i="1"/>
  <c r="Y28" i="1"/>
  <c r="Y33" i="1" s="1"/>
  <c r="F18" i="1"/>
  <c r="H44" i="1"/>
  <c r="H18" i="1"/>
  <c r="F17" i="1"/>
  <c r="H17" i="1"/>
  <c r="AD18" i="1"/>
  <c r="Z18" i="1"/>
  <c r="AD34" i="1"/>
  <c r="AD36" i="1" s="1"/>
  <c r="AB28" i="1"/>
  <c r="AB33" i="1" s="1"/>
  <c r="U28" i="1"/>
  <c r="U33" i="1" s="1"/>
  <c r="T28" i="1"/>
  <c r="T33" i="1" s="1"/>
  <c r="W28" i="1"/>
  <c r="W33" i="1" s="1"/>
  <c r="X28" i="1"/>
  <c r="X33" i="1" s="1"/>
  <c r="AD17" i="1"/>
  <c r="AB40" i="1"/>
  <c r="AB34" i="1" s="1"/>
  <c r="AB36" i="1" s="1"/>
  <c r="L40" i="1"/>
  <c r="L44" i="1" s="1"/>
  <c r="M40" i="1"/>
  <c r="M44" i="1" s="1"/>
  <c r="O40" i="1"/>
  <c r="O44" i="1" s="1"/>
  <c r="Z28" i="1"/>
  <c r="Z33" i="1" s="1"/>
  <c r="D70" i="1"/>
  <c r="AM44" i="1"/>
  <c r="X40" i="1"/>
  <c r="X44" i="1" s="1"/>
  <c r="Q28" i="1"/>
  <c r="Q33" i="1" s="1"/>
  <c r="AD37" i="1"/>
  <c r="AD28" i="1" s="1"/>
  <c r="AD33" i="1" s="1"/>
  <c r="W40" i="1"/>
  <c r="W44" i="1" s="1"/>
  <c r="N18" i="1"/>
  <c r="R28" i="1"/>
  <c r="R33" i="1" s="1"/>
  <c r="Q40" i="1"/>
  <c r="Q44" i="1" s="1"/>
  <c r="D31" i="1"/>
  <c r="D40" i="1" s="1"/>
  <c r="AC34" i="1"/>
  <c r="AC36" i="1" s="1"/>
  <c r="Z40" i="1"/>
  <c r="Z44" i="1" s="1"/>
  <c r="D69" i="1"/>
  <c r="AC37" i="1"/>
  <c r="AC28" i="1" s="1"/>
  <c r="AC33" i="1" s="1"/>
  <c r="AC17" i="1"/>
  <c r="AC16" i="1"/>
  <c r="AB17" i="1"/>
  <c r="AB16" i="1"/>
  <c r="AB18" i="1"/>
  <c r="AC18" i="1"/>
  <c r="T18" i="1"/>
  <c r="Q18" i="1"/>
  <c r="O18" i="1"/>
  <c r="M18" i="1"/>
  <c r="X18" i="1"/>
  <c r="T40" i="1"/>
  <c r="T44" i="1" s="1"/>
  <c r="U40" i="1"/>
  <c r="U44" i="1" s="1"/>
  <c r="AL44" i="1"/>
  <c r="R40" i="1"/>
  <c r="R44" i="1" s="1"/>
  <c r="AK44" i="1"/>
  <c r="O16" i="1"/>
  <c r="X15" i="1"/>
  <c r="X17" i="1" s="1"/>
  <c r="Y18" i="1"/>
  <c r="Z15" i="1"/>
  <c r="Z17" i="1" s="1"/>
  <c r="R18" i="1"/>
  <c r="M15" i="1"/>
  <c r="M17" i="1" s="1"/>
  <c r="Q16" i="1"/>
  <c r="N40" i="1"/>
  <c r="N44" i="1" s="1"/>
  <c r="Y40" i="1"/>
  <c r="Y44" i="1" s="1"/>
  <c r="R16" i="1"/>
  <c r="L18" i="1"/>
  <c r="W18" i="1"/>
  <c r="D17" i="1"/>
  <c r="D16" i="1"/>
  <c r="Y16" i="1"/>
  <c r="Y17" i="1"/>
  <c r="U17" i="1"/>
  <c r="U16" i="1"/>
  <c r="D71" i="1"/>
  <c r="T15" i="1"/>
  <c r="Q17" i="1"/>
  <c r="L16" i="1"/>
  <c r="W16" i="1"/>
  <c r="O17" i="1"/>
  <c r="U18" i="1"/>
  <c r="D68" i="1"/>
  <c r="N15" i="1"/>
  <c r="W17" i="1"/>
  <c r="D72" i="1" l="1"/>
  <c r="X16" i="1"/>
  <c r="Z16" i="1"/>
  <c r="M16" i="1"/>
  <c r="T16" i="1"/>
  <c r="T17" i="1"/>
  <c r="N27" i="1"/>
  <c r="N16" i="1"/>
  <c r="N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tc={4E1AD8F3-B0AA-B746-A899-8DB73F390FA0}</author>
    <author>tc={22AF41B3-DEC8-EC4F-9AFE-AC13F33F2C2F}</author>
    <author>tc={8445432D-EA2B-514A-B63F-16EF786E93E6}</author>
    <author>tc={F9983225-537C-3B48-96DC-DAF8F3E3FBE0}</author>
    <author>tc={209EA084-8F2C-CB47-9C19-863F79F25B38}</author>
    <author>tc={F4FC20CB-DCEF-7343-9475-4FE9651DDA9B}</author>
    <author>tc={909B9D90-3B64-C041-B333-C23560BB3D51}</author>
    <author>tc={B33CF372-6FA6-E94D-A3B4-F5A211683620}</author>
    <author>tc={60A0F203-0DA9-7E48-B07D-0973FC5411D1}</author>
    <author>tc={B95378C7-3B7F-E048-88EF-7315FAD17AC0}</author>
    <author>tc={29AC2862-B4D4-A841-BE36-17F8A87255F0}</author>
    <author>tc={69D961FA-46C5-9E42-B258-8366D4329CE2}</author>
    <author>tc={126B8CC0-3F3E-AA45-AA8F-52487B62F859}</author>
    <author>tc={B88AA04E-B9C4-044A-AA56-208B2F6FA890}</author>
    <author>tc={5B6E5B33-8362-D04A-B4DB-4D7A94DBA95C}</author>
    <author>tc={5F631278-641C-C443-A03D-6B72DFB6E2D0}</author>
    <author>tc={635CA7BE-A7C5-9444-B97D-B07363D75CE1}</author>
    <author>tc={85FA3FF0-5675-114C-A42F-E4170EBD3FE0}</author>
    <author>tc={D28A1795-CD04-A847-8ED9-BD00F2AE4E9B}</author>
    <author>tc={A2C65FE0-3933-474A-B3FC-F246A70746CC}</author>
    <author>tc={399962CD-77FF-644D-AD8E-C931481CC868}</author>
    <author>tc={A366E0FB-A558-D747-B3EE-AE7D9413A888}</author>
    <author>tc={17FBC4E9-2051-D247-BE6E-3263C19F66F7}</author>
    <author>tc={C792BE65-CDB2-C04E-A25E-FDEE0075D0D0}</author>
    <author>tc={AEFA659A-CF37-7E44-B09B-F4B9CEC03494}</author>
    <author>tc={EF490253-0D90-394B-80C8-A13C4BF6BB17}</author>
    <author>tc={549B96BE-800C-5C44-8642-FF42D9A605FE}</author>
    <author>tc={A92EED6C-F2B4-3A4E-B215-FF11B8B784BA}</author>
    <author>tc={790F844C-2598-1441-A7FA-4A428727EA10}</author>
    <author>tc={F2B06757-E77C-E245-91F6-0390B3506A44}</author>
    <author>tc={D3F73A05-4210-DF48-8277-A3200D04E89E}</author>
    <author>tc={0733252B-6FD5-4447-862D-CB70DA4C3D96}</author>
    <author>tc={2B7882C3-D0DF-7D42-87BA-42587561A01F}</author>
    <author>tc={01AA43B4-64BA-6447-9B72-1F99575C3309}</author>
    <author>tc={EDCBD708-49C0-6946-8657-269C3582BC4B}</author>
    <author>tc={016FC0E0-B779-7745-B3D8-61F4D754232C}</author>
    <author>tc={31D2A802-F5AC-5E48-A675-0C38722241CB}</author>
    <author>tc={D70A0B66-B151-6A47-8E0E-8DB93F80F0B3}</author>
    <author>tc={04FCD0CA-D310-4042-B55E-2AE198E63305}</author>
    <author>tc={BDA9551F-EE28-4A47-8958-B0AA2D984B9A}</author>
    <author>tc={52D1A93C-29DA-C540-80C6-E23411281DC5}</author>
    <author>tc={23311DCB-81FA-BF4A-B7C9-696263AA0B26}</author>
    <author>tc={CAAFC797-6BDF-9E4F-BC59-A780B67CB333}</author>
    <author>tc={1E626BD2-EBA9-7041-9FC5-F1234D2E6B3B}</author>
    <author>tc={E2775972-6F5A-CD49-9601-72FAC2BECD49}</author>
    <author>tc={777122C1-CC71-B94A-A2FE-00865CC2AD45}</author>
    <author>tc={0CC1D6D8-03CB-9043-BCAB-9BA25B0F9C07}</author>
    <author>tc={C7258091-3981-2F42-AFC9-ABFFBDEDE21E}</author>
    <author>tc={20023FA1-6E36-714F-8F35-D9931205F071}</author>
    <author>tc={E3A5E073-CB84-CA40-978E-477D7FEF3834}</author>
    <author>tc={C1FF6940-7680-5340-B38D-FF482D5766AC}</author>
  </authors>
  <commentList>
    <comment ref="L34" authorId="0" shapeId="0" xr:uid="{4E1AD8F3-B0AA-B746-A899-8DB73F390FA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page 7
16 global col + 1 ECC col
16 global row assumed</t>
      </text>
    </comment>
    <comment ref="M34" authorId="1" shapeId="0" xr:uid="{22AF41B3-DEC8-EC4F-9AFE-AC13F33F2C2F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page 7
16 global col + 1 ECC col
16 global row assumed</t>
      </text>
    </comment>
    <comment ref="N34" authorId="2" shapeId="0" xr:uid="{8445432D-EA2B-514A-B63F-16EF786E93E6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page 7
16 global col + 1 ECC col
16 global row assumed</t>
      </text>
    </comment>
    <comment ref="O34" authorId="3" shapeId="0" xr:uid="{F9983225-537C-3B48-96DC-DAF8F3E3FBE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page 7
16 global col + 1 ECC col
16 global row assumed</t>
      </text>
    </comment>
    <comment ref="Q34" authorId="4" shapeId="0" xr:uid="{209EA084-8F2C-CB47-9C19-863F79F25B38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</t>
      </text>
    </comment>
    <comment ref="R34" authorId="5" shapeId="0" xr:uid="{F4FC20CB-DCEF-7343-9475-4FE9651DDA9B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</t>
      </text>
    </comment>
    <comment ref="T34" authorId="6" shapeId="0" xr:uid="{909B9D90-3B64-C041-B333-C23560BB3D51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</t>
      </text>
    </comment>
    <comment ref="U34" authorId="7" shapeId="0" xr:uid="{B33CF372-6FA6-E94D-A3B4-F5A211683620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</t>
      </text>
    </comment>
    <comment ref="W34" authorId="8" shapeId="0" xr:uid="{60A0F203-0DA9-7E48-B07D-0973FC5411D1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</t>
      </text>
    </comment>
    <comment ref="X34" authorId="9" shapeId="0" xr:uid="{B95378C7-3B7F-E048-88EF-7315FAD17AC0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</t>
      </text>
    </comment>
    <comment ref="Y34" authorId="10" shapeId="0" xr:uid="{29AC2862-B4D4-A841-BE36-17F8A87255F0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</t>
      </text>
    </comment>
    <comment ref="Z34" authorId="11" shapeId="0" xr:uid="{69D961FA-46C5-9E42-B258-8366D4329CE2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</t>
      </text>
    </comment>
    <comment ref="L35" authorId="12" shapeId="0" xr:uid="{126B8CC0-3F3E-AA45-AA8F-52487B62F859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page 7
16 global col + 1 ECC col</t>
      </text>
    </comment>
    <comment ref="M35" authorId="13" shapeId="0" xr:uid="{B88AA04E-B9C4-044A-AA56-208B2F6FA89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page 7
16 global col + 1 ECC col</t>
      </text>
    </comment>
    <comment ref="N35" authorId="14" shapeId="0" xr:uid="{5B6E5B33-8362-D04A-B4DB-4D7A94DBA95C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page 9
16 global col + 1 ECC col</t>
      </text>
    </comment>
    <comment ref="O35" authorId="15" shapeId="0" xr:uid="{5F631278-641C-C443-A03D-6B72DFB6E2D0}">
      <text>
        <t>[Threaded comment]
Your version of Excel allows you to read this threaded comment; however, any edits to it will get removed if the file is opened in a newer version of Excel. Learn more: https://go.microsoft.com/fwlink/?linkid=870924
Comment:
    Based on page 9
16 global col + 1 ECC col</t>
      </text>
    </comment>
    <comment ref="Q35" authorId="16" shapeId="0" xr:uid="{635CA7BE-A7C5-9444-B97D-B07363D75CE1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col + 1 ECC col</t>
      </text>
    </comment>
    <comment ref="R35" authorId="17" shapeId="0" xr:uid="{85FA3FF0-5675-114C-A42F-E4170EBD3FE0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col + 1 ECC col</t>
      </text>
    </comment>
    <comment ref="T35" authorId="18" shapeId="0" xr:uid="{D28A1795-CD04-A847-8ED9-BD00F2AE4E9B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col + 1 ECC col</t>
      </text>
    </comment>
    <comment ref="U35" authorId="19" shapeId="0" xr:uid="{A2C65FE0-3933-474A-B3FC-F246A70746CC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col + 1 ECC col</t>
      </text>
    </comment>
    <comment ref="W35" authorId="20" shapeId="0" xr:uid="{399962CD-77FF-644D-AD8E-C931481CC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col + 1 ECC col</t>
      </text>
    </comment>
    <comment ref="X35" authorId="21" shapeId="0" xr:uid="{A366E0FB-A558-D747-B3EE-AE7D9413A888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col + 1 ECC col</t>
      </text>
    </comment>
    <comment ref="Y35" authorId="22" shapeId="0" xr:uid="{17FBC4E9-2051-D247-BE6E-3263C19F66F7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col + 1 ECC col</t>
      </text>
    </comment>
    <comment ref="Z35" authorId="23" shapeId="0" xr:uid="{C792BE65-CDB2-C04E-A25E-FDEE0075D0D0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col + 1 ECC col</t>
      </text>
    </comment>
    <comment ref="L36" authorId="24" shapeId="0" xr:uid="{AEFA659A-CF37-7E44-B09B-F4B9CEC03494}">
      <text>
        <t>[Threaded comment]
Your version of Excel allows you to read this threaded comment; however, any edits to it will get removed if the file is opened in a newer version of Excel. Learn more: https://go.microsoft.com/fwlink/?linkid=870924
Comment:
    16 global row assumed</t>
      </text>
    </comment>
    <comment ref="M36" authorId="25" shapeId="0" xr:uid="{EF490253-0D90-394B-80C8-A13C4BF6BB17}">
      <text>
        <t>[Threaded comment]
Your version of Excel allows you to read this threaded comment; however, any edits to it will get removed if the file is opened in a newer version of Excel. Learn more: https://go.microsoft.com/fwlink/?linkid=870924
Comment:
    16 global row assumed</t>
      </text>
    </comment>
    <comment ref="N36" authorId="26" shapeId="0" xr:uid="{549B96BE-800C-5C44-8642-FF42D9A605FE}">
      <text>
        <t>[Threaded comment]
Your version of Excel allows you to read this threaded comment; however, any edits to it will get removed if the file is opened in a newer version of Excel. Learn more: https://go.microsoft.com/fwlink/?linkid=870924
Comment:
    32 global row assumed</t>
      </text>
    </comment>
    <comment ref="O36" authorId="27" shapeId="0" xr:uid="{A92EED6C-F2B4-3A4E-B215-FF11B8B784BA}">
      <text>
        <t>[Threaded comment]
Your version of Excel allows you to read this threaded comment; however, any edits to it will get removed if the file is opened in a newer version of Excel. Learn more: https://go.microsoft.com/fwlink/?linkid=870924
Comment:
    16 global row assumed</t>
      </text>
    </comment>
    <comment ref="Q36" authorId="28" shapeId="0" xr:uid="{790F844C-2598-1441-A7FA-4A428727EA1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row assumed </t>
      </text>
    </comment>
    <comment ref="R36" authorId="29" shapeId="0" xr:uid="{F2B06757-E77C-E245-91F6-0390B3506A4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row assumed </t>
      </text>
    </comment>
    <comment ref="T36" authorId="30" shapeId="0" xr:uid="{D3F73A05-4210-DF48-8277-A3200D04E89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row assumed </t>
      </text>
    </comment>
    <comment ref="U36" authorId="31" shapeId="0" xr:uid="{0733252B-6FD5-4447-862D-CB70DA4C3D9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row assumed </t>
      </text>
    </comment>
    <comment ref="W36" authorId="32" shapeId="0" xr:uid="{2B7882C3-D0DF-7D42-87BA-42587561A01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row assumed </t>
      </text>
    </comment>
    <comment ref="X36" authorId="33" shapeId="0" xr:uid="{01AA43B4-64BA-6447-9B72-1F99575C330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row assumed </t>
      </text>
    </comment>
    <comment ref="Y36" authorId="34" shapeId="0" xr:uid="{EDCBD708-49C0-6946-8657-269C3582BC4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row assumed </t>
      </text>
    </comment>
    <comment ref="Z36" authorId="35" shapeId="0" xr:uid="{016FC0E0-B779-7745-B3D8-61F4D754232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Assumption: fixed Mat size 0f 0.5Mb
64 mat for each bank
8 global row assumed </t>
      </text>
    </comment>
    <comment ref="F43" authorId="36" shapeId="0" xr:uid="{31D2A802-F5AC-5E48-A675-0C38722241CB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G43" authorId="37" shapeId="0" xr:uid="{D70A0B66-B151-6A47-8E0E-8DB93F80F0B3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H43" authorId="38" shapeId="0" xr:uid="{04FCD0CA-D310-4042-B55E-2AE198E63305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L43" authorId="39" shapeId="0" xr:uid="{BDA9551F-EE28-4A47-8958-B0AA2D984B9A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M43" authorId="40" shapeId="0" xr:uid="{52D1A93C-29DA-C540-80C6-E23411281DC5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N43" authorId="41" shapeId="0" xr:uid="{23311DCB-81FA-BF4A-B7C9-696263AA0B26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O43" authorId="42" shapeId="0" xr:uid="{CAAFC797-6BDF-9E4F-BC59-A780B67CB333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Q43" authorId="43" shapeId="0" xr:uid="{1E626BD2-EBA9-7041-9FC5-F1234D2E6B3B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R43" authorId="44" shapeId="0" xr:uid="{E2775972-6F5A-CD49-9601-72FAC2BECD49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T43" authorId="45" shapeId="0" xr:uid="{777122C1-CC71-B94A-A2FE-00865CC2AD45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U43" authorId="46" shapeId="0" xr:uid="{0CC1D6D8-03CB-9043-BCAB-9BA25B0F9C07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W43" authorId="47" shapeId="0" xr:uid="{C7258091-3981-2F42-AFC9-ABFFBDEDE21E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X43" authorId="48" shapeId="0" xr:uid="{20023FA1-6E36-714F-8F35-D9931205F071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Y43" authorId="49" shapeId="0" xr:uid="{E3A5E073-CB84-CA40-978E-477D7FEF3834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  <comment ref="Z43" authorId="50" shapeId="0" xr:uid="{C1FF6940-7680-5340-B38D-FF482D5766AC}">
      <text>
        <t>[Threaded comment]
Your version of Excel allows you to read this threaded comment; however, any edits to it will get removed if the file is opened in a newer version of Excel. Learn more: https://go.microsoft.com/fwlink/?linkid=870924
Comment:
    It may also be 1024
  Page buffer become 16Kb 
  BL32 if needed</t>
      </text>
    </comment>
  </commentList>
</comments>
</file>

<file path=xl/sharedStrings.xml><?xml version="1.0" encoding="utf-8"?>
<sst xmlns="http://schemas.openxmlformats.org/spreadsheetml/2006/main" count="277" uniqueCount="206">
  <si>
    <r>
      <t xml:space="preserve">Winbond
07/26
</t>
    </r>
    <r>
      <rPr>
        <sz val="12"/>
        <color rgb="FFFF0000"/>
        <rFont val="Calibri (Body)"/>
      </rPr>
      <t>Client Memory 5Cx (no TSV)</t>
    </r>
    <r>
      <rPr>
        <sz val="12"/>
        <color theme="1"/>
        <rFont val="Calibri"/>
        <family val="2"/>
        <scheme val="minor"/>
      </rPr>
      <t xml:space="preserve">
2Gb die</t>
    </r>
  </si>
  <si>
    <r>
      <t xml:space="preserve">Winbond
07/26
</t>
    </r>
    <r>
      <rPr>
        <sz val="12"/>
        <color rgb="FFFF0000"/>
        <rFont val="Calibri (Body)"/>
      </rPr>
      <t>Client Memory 5Ex (no TSV)</t>
    </r>
    <r>
      <rPr>
        <sz val="12"/>
        <color theme="1"/>
        <rFont val="Calibri"/>
        <family val="2"/>
        <scheme val="minor"/>
      </rPr>
      <t xml:space="preserve">
4Gb die</t>
    </r>
  </si>
  <si>
    <r>
      <t xml:space="preserve">Winbond
07/26
</t>
    </r>
    <r>
      <rPr>
        <sz val="12"/>
        <color rgb="FFFF0000"/>
        <rFont val="Calibri (Body)"/>
      </rPr>
      <t>Client Cache 2E vs.Server (3C) vs.  Combined (3E)</t>
    </r>
    <r>
      <rPr>
        <sz val="12"/>
        <color theme="1"/>
        <rFont val="Calibri"/>
        <family val="2"/>
        <scheme val="minor"/>
      </rPr>
      <t xml:space="preserve">
2Gb 3D die</t>
    </r>
  </si>
  <si>
    <t>Iris Pro eDRAM
P1271.3</t>
  </si>
  <si>
    <t>Samsung
1Y LPDDR4</t>
  </si>
  <si>
    <t>Samsung
1X LPDDR4</t>
  </si>
  <si>
    <t>Micron
1X DDR4</t>
  </si>
  <si>
    <t>SK Hynix
1X LPDDR4</t>
  </si>
  <si>
    <t>Technology Node</t>
  </si>
  <si>
    <t>nm</t>
  </si>
  <si>
    <t>22nm</t>
  </si>
  <si>
    <t>D25S</t>
  </si>
  <si>
    <t>D20</t>
  </si>
  <si>
    <t>D1Y (no TSV)</t>
  </si>
  <si>
    <t>D1Y (2E/TSV)</t>
  </si>
  <si>
    <t>D1Y (3E/TSV)</t>
  </si>
  <si>
    <t>D1Y (3C/TSV)</t>
  </si>
  <si>
    <t>Other  References</t>
  </si>
  <si>
    <t>http://www.qdpma.com/ServerSystems/DRAM.html</t>
  </si>
  <si>
    <t xml:space="preserve">Critical Patterning </t>
  </si>
  <si>
    <t>ACT-cont</t>
  </si>
  <si>
    <t>The table below shows some DRAM products by bank size?</t>
  </si>
  <si>
    <t># of Critical Layer</t>
  </si>
  <si>
    <t>9/193i</t>
  </si>
  <si>
    <t>Type</t>
  </si>
  <si>
    <t>Density</t>
  </si>
  <si>
    <t>Banks</t>
  </si>
  <si>
    <t>Bank Size</t>
  </si>
  <si>
    <t>Org</t>
  </si>
  <si>
    <t># of Interconnect Layer</t>
  </si>
  <si>
    <t>4+2</t>
  </si>
  <si>
    <t>DDR4</t>
  </si>
  <si>
    <t>8G</t>
  </si>
  <si>
    <t>512M</t>
  </si>
  <si>
    <t>131,072×128×32</t>
  </si>
  <si>
    <t>Die</t>
  </si>
  <si>
    <t>Capacity</t>
  </si>
  <si>
    <t>Gb</t>
  </si>
  <si>
    <t>RL-DRAM</t>
  </si>
  <si>
    <t>1.125G</t>
  </si>
  <si>
    <t>72M</t>
  </si>
  <si>
    <t>16,384×32×8×18</t>
  </si>
  <si>
    <t>tRC</t>
  </si>
  <si>
    <t>Footprint</t>
  </si>
  <si>
    <r>
      <t>mm</t>
    </r>
    <r>
      <rPr>
        <vertAlign val="superscript"/>
        <sz val="12"/>
        <color theme="1"/>
        <rFont val="Calibri (Body)"/>
      </rPr>
      <t>2</t>
    </r>
  </si>
  <si>
    <t>eDRAM</t>
  </si>
  <si>
    <t>1G</t>
  </si>
  <si>
    <t>8M</t>
  </si>
  <si>
    <t>4×8×256×1024</t>
  </si>
  <si>
    <t>46ns</t>
  </si>
  <si>
    <r>
      <t>Mb/mm</t>
    </r>
    <r>
      <rPr>
        <vertAlign val="superscript"/>
        <sz val="12"/>
        <color theme="1"/>
        <rFont val="Calibri (Body)"/>
      </rPr>
      <t>2</t>
    </r>
  </si>
  <si>
    <t>pins</t>
  </si>
  <si>
    <t># of Address</t>
  </si>
  <si>
    <t>Transfer Rate</t>
  </si>
  <si>
    <t>GTpS</t>
  </si>
  <si>
    <t>Bandwidth</t>
  </si>
  <si>
    <t>GB/s</t>
  </si>
  <si>
    <t>Bandwidth Density</t>
  </si>
  <si>
    <t>GB/s/GB</t>
  </si>
  <si>
    <t>Bandwidth Footprint Density</t>
  </si>
  <si>
    <r>
      <t>GB/s/mm</t>
    </r>
    <r>
      <rPr>
        <vertAlign val="superscript"/>
        <sz val="12"/>
        <color theme="1"/>
        <rFont val="Calibri (Body)"/>
      </rPr>
      <t>2</t>
    </r>
  </si>
  <si>
    <t>Pad Pitch estimate (+40 cmd/pwr)</t>
  </si>
  <si>
    <t>µm</t>
  </si>
  <si>
    <t>tRCD (tRAS)</t>
  </si>
  <si>
    <t>ns</t>
  </si>
  <si>
    <t>9/14ns</t>
  </si>
  <si>
    <t>tCL (tCAC or tCAS)</t>
  </si>
  <si>
    <t>access latency / TCCD</t>
  </si>
  <si>
    <t>Channel</t>
  </si>
  <si>
    <t># of Channel /Die</t>
  </si>
  <si>
    <t>#</t>
  </si>
  <si>
    <t>DQ / Channel</t>
  </si>
  <si>
    <t>BW/Channel</t>
  </si>
  <si>
    <t>GB/s/Channel</t>
  </si>
  <si>
    <t># of Bank / Channel</t>
  </si>
  <si>
    <t>Bank/Channel</t>
  </si>
  <si>
    <t># of Bank / die</t>
  </si>
  <si>
    <t>Bank</t>
  </si>
  <si>
    <t>Bank Capacity</t>
  </si>
  <si>
    <t>Mb/Bank</t>
  </si>
  <si>
    <t>DQ/Bank</t>
  </si>
  <si>
    <t>n</t>
  </si>
  <si>
    <t>Min. (Logical) Page Size</t>
  </si>
  <si>
    <t>bits</t>
  </si>
  <si>
    <t># Array/Bank</t>
  </si>
  <si>
    <t>Array/Bank</t>
  </si>
  <si>
    <t>Physical Page Size</t>
  </si>
  <si>
    <t>Array Capacity</t>
  </si>
  <si>
    <t>Mb/Array</t>
  </si>
  <si>
    <t># of SubArray/Array (deck)</t>
  </si>
  <si>
    <t>SubAry/Array</t>
  </si>
  <si>
    <t>SubArray (deck) Capacity</t>
  </si>
  <si>
    <t>Mb/SubArray</t>
  </si>
  <si>
    <t># of BL</t>
  </si>
  <si>
    <t>Col</t>
  </si>
  <si>
    <t># of WL</t>
  </si>
  <si>
    <t>row</t>
  </si>
  <si>
    <t>Cell Size</t>
  </si>
  <si>
    <r>
      <t>µm</t>
    </r>
    <r>
      <rPr>
        <vertAlign val="superscript"/>
        <sz val="12"/>
        <color theme="1"/>
        <rFont val="Calibri (Body)"/>
      </rPr>
      <t>2</t>
    </r>
  </si>
  <si>
    <t>Aspect ratio</t>
  </si>
  <si>
    <t>in F2</t>
  </si>
  <si>
    <t>8F2</t>
  </si>
  <si>
    <t>Cell Width</t>
  </si>
  <si>
    <t>Cell Height</t>
  </si>
  <si>
    <t>Active Pitch</t>
  </si>
  <si>
    <t>WL  Pitch</t>
  </si>
  <si>
    <t>BL Pitch</t>
  </si>
  <si>
    <t>Cell cap height</t>
  </si>
  <si>
    <t>Cell Type</t>
  </si>
  <si>
    <t>F2</t>
  </si>
  <si>
    <t>6F2</t>
  </si>
  <si>
    <t>Storage Cap</t>
  </si>
  <si>
    <t>fF/cell</t>
  </si>
  <si>
    <t>Contact OGD</t>
  </si>
  <si>
    <t>Contact PGD</t>
  </si>
  <si>
    <t>Cell Cap</t>
  </si>
  <si>
    <t>aF/cell</t>
  </si>
  <si>
    <t>WL Res</t>
  </si>
  <si>
    <t>Ω/cell</t>
  </si>
  <si>
    <t>BL Res</t>
  </si>
  <si>
    <t>WL cap</t>
  </si>
  <si>
    <t>BL cap</t>
  </si>
  <si>
    <t>Allocation/pitches of metal layers</t>
  </si>
  <si>
    <r>
      <t>SA calc for match criteria C</t>
    </r>
    <r>
      <rPr>
        <vertAlign val="subscript"/>
        <sz val="12"/>
        <color theme="1"/>
        <rFont val="Calibri (Body)"/>
      </rPr>
      <t>in</t>
    </r>
  </si>
  <si>
    <t>fF/SA</t>
  </si>
  <si>
    <t>???</t>
  </si>
  <si>
    <t>bits/WL</t>
  </si>
  <si>
    <t>bits/BL</t>
  </si>
  <si>
    <t>Cs/Cblp</t>
  </si>
  <si>
    <t>ratio</t>
  </si>
  <si>
    <t>SM</t>
  </si>
  <si>
    <t>mV</t>
  </si>
  <si>
    <t>calculated t_WL</t>
  </si>
  <si>
    <t>calculated t_BLeq</t>
  </si>
  <si>
    <t>calculated tRCD</t>
  </si>
  <si>
    <t>Area for CuA</t>
  </si>
  <si>
    <t>um2</t>
  </si>
  <si>
    <t>Rchannel @ Lg = 60nm</t>
  </si>
  <si>
    <t>ohm</t>
  </si>
  <si>
    <t>Rchannel @ Lg = 40nm</t>
  </si>
  <si>
    <t>Rchannel @ Lg = 20nm</t>
  </si>
  <si>
    <t>Z</t>
  </si>
  <si>
    <t>um</t>
  </si>
  <si>
    <t>Rcontact @ Lcon  27.5nm</t>
  </si>
  <si>
    <t>Rcontact @ Lcon  20nm</t>
  </si>
  <si>
    <t>Rcontact @ Lcon  15nm</t>
  </si>
  <si>
    <t>Idlin</t>
  </si>
  <si>
    <t>A</t>
  </si>
  <si>
    <t>SS @ Lg = 60nm</t>
  </si>
  <si>
    <t>mV/dec</t>
  </si>
  <si>
    <t>SS @ Lg = 40nm</t>
  </si>
  <si>
    <t>SS @ Lg = 20nm</t>
  </si>
  <si>
    <t>Rsheet @Lg = 60nm</t>
  </si>
  <si>
    <t>ohm/sq</t>
  </si>
  <si>
    <t>Rsheet @Lg = 40nm</t>
  </si>
  <si>
    <t>Rsheet @Lg = 20nm</t>
  </si>
  <si>
    <t>Doping /cm3</t>
  </si>
  <si>
    <t>/cm3</t>
  </si>
  <si>
    <t>Doping /cm2</t>
  </si>
  <si>
    <t>/cm2</t>
  </si>
  <si>
    <t>ADM thickness</t>
  </si>
  <si>
    <t>cm</t>
  </si>
  <si>
    <t>Leakage @Vg = -0.4</t>
  </si>
  <si>
    <t>A/bit</t>
  </si>
  <si>
    <t>Vt_cc @1e-9 A/um</t>
  </si>
  <si>
    <t>V</t>
  </si>
  <si>
    <t>V_WL_OFF</t>
  </si>
  <si>
    <t>Energy</t>
  </si>
  <si>
    <t>pJ/bit</t>
  </si>
  <si>
    <t>Vt for Ion</t>
  </si>
  <si>
    <t>Vt_gm = 0.5 V*</t>
  </si>
  <si>
    <t>Schottky knee voltage</t>
  </si>
  <si>
    <t>300*</t>
  </si>
  <si>
    <t>Vg</t>
  </si>
  <si>
    <t>read 1</t>
  </si>
  <si>
    <t>Vs</t>
  </si>
  <si>
    <t>Vgs</t>
  </si>
  <si>
    <t>Vd</t>
  </si>
  <si>
    <t>Vds</t>
  </si>
  <si>
    <t>Vtgm</t>
  </si>
  <si>
    <t>Vgs-Vt</t>
  </si>
  <si>
    <t>Vgs-Vt vs Vds</t>
  </si>
  <si>
    <t>Vgs-Vt &gt; Vds</t>
  </si>
  <si>
    <t>read 0</t>
  </si>
  <si>
    <t>P1222.61</t>
  </si>
  <si>
    <r>
      <t xml:space="preserve">Winbond
03/21
</t>
    </r>
    <r>
      <rPr>
        <sz val="12"/>
        <color rgb="FFFF0000"/>
        <rFont val="Calibri (Body)"/>
      </rPr>
      <t>Client App</t>
    </r>
    <r>
      <rPr>
        <sz val="12"/>
        <color theme="1"/>
        <rFont val="Calibri"/>
        <family val="2"/>
        <scheme val="minor"/>
      </rPr>
      <t xml:space="preserve">
Opt. 1
2Gb die</t>
    </r>
  </si>
  <si>
    <r>
      <t xml:space="preserve">Winbond
03/21
</t>
    </r>
    <r>
      <rPr>
        <sz val="12"/>
        <color rgb="FFFF0000"/>
        <rFont val="Calibri (Body)"/>
      </rPr>
      <t>Client App</t>
    </r>
    <r>
      <rPr>
        <sz val="12"/>
        <color theme="1"/>
        <rFont val="Calibri"/>
        <family val="2"/>
        <scheme val="minor"/>
      </rPr>
      <t xml:space="preserve">
Opt. 3
2Gb die</t>
    </r>
  </si>
  <si>
    <t>D25S (no TSV)</t>
  </si>
  <si>
    <t>D1Y (No TSV)</t>
  </si>
  <si>
    <t># of DQ / die</t>
  </si>
  <si>
    <t>Channel Capacity</t>
  </si>
  <si>
    <t>Mb/Channel</t>
  </si>
  <si>
    <t>Bank, Partition</t>
  </si>
  <si>
    <t># of col of Mat/Tile (GBL)</t>
  </si>
  <si>
    <t># of Row of Mat/Tile (GWL)</t>
  </si>
  <si>
    <t>Mat, Tile</t>
  </si>
  <si>
    <t>1z (512)</t>
  </si>
  <si>
    <t>1z (128)</t>
  </si>
  <si>
    <t>Max Burst Length</t>
  </si>
  <si>
    <r>
      <t xml:space="preserve">Hynix
6/15/21
</t>
    </r>
    <r>
      <rPr>
        <sz val="12"/>
        <color rgb="FFFF0000"/>
        <rFont val="Calibri (Body)"/>
      </rPr>
      <t>Server #1</t>
    </r>
    <r>
      <rPr>
        <sz val="12"/>
        <color theme="1"/>
        <rFont val="Calibri"/>
        <family val="2"/>
        <scheme val="minor"/>
      </rPr>
      <t xml:space="preserve">
8Ch</t>
    </r>
  </si>
  <si>
    <t xml:space="preserve">Hynix
JEDEC Standard </t>
  </si>
  <si>
    <t>1y HBM2E</t>
  </si>
  <si>
    <t>1z HBM3</t>
  </si>
  <si>
    <t>Hynix
2Gb Macro</t>
  </si>
  <si>
    <t>1z LPDDR5</t>
  </si>
  <si>
    <t>Hynix
1Gb Macro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</si>
</sst>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"/>
    <numFmt numFmtId="165" formatCode="0.0"/>
    <numFmt numFmtId="166" formatCode="0.00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Tahom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2"/>
      <color theme="1"/>
      <name val="Calibri (Body)"/>
    </font>
    <font>
      <vertAlign val="subscript"/>
      <sz val="12"/>
      <color theme="1"/>
      <name val="Calibri (Body)"/>
    </font>
    <font>
      <sz val="12"/>
      <color rgb="FFFF0000"/>
      <name val="Calibri (Body)"/>
    </font>
    <font>
      <sz val="12"/>
      <color theme="1"/>
      <name val="Helvetica"/>
      <family val="2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3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2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11" fontId="0" fillId="0" borderId="0" xfId="2" applyNumberFormat="1" applyFont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 wrapText="1"/>
    </xf>
    <xf numFmtId="1" fontId="0" fillId="2" borderId="0" xfId="0" applyNumberFormat="1" applyFill="1" applyAlignment="1">
      <alignment horizontal="center" vertical="center"/>
    </xf>
    <xf numFmtId="2" fontId="0" fillId="2" borderId="0" xfId="2" applyNumberFormat="1" applyFont="1" applyFill="1" applyAlignment="1">
      <alignment horizontal="center" vertical="center"/>
    </xf>
    <xf numFmtId="11" fontId="0" fillId="2" borderId="0" xfId="2" applyNumberFormat="1" applyFont="1" applyFill="1" applyAlignment="1">
      <alignment horizontal="center" vertical="center"/>
    </xf>
    <xf numFmtId="11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2" fontId="0" fillId="0" borderId="0" xfId="0" applyNumberFormat="1" applyAlignment="1">
      <alignment horizontal="center" wrapText="1"/>
    </xf>
    <xf numFmtId="0" fontId="9" fillId="0" borderId="0" xfId="0" applyFont="1"/>
    <xf numFmtId="2" fontId="0" fillId="0" borderId="0" xfId="0" applyNumberFormat="1" applyAlignment="1">
      <alignment horizontal="center" wrapText="1"/>
    </xf>
    <xf numFmtId="0" fontId="0" fillId="0" borderId="0" xfId="0" applyAlignment="1">
      <alignment horizontal="center" vertical="center" textRotation="90" wrapText="1"/>
    </xf>
    <xf numFmtId="1" fontId="12" fillId="0" borderId="0" xfId="0" applyNumberFormat="1" applyFont="1" applyAlignment="1">
      <alignment horizontal="center" vertical="center"/>
    </xf>
    <xf numFmtId="0" fontId="10" fillId="0" borderId="0" xfId="0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DD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508000</xdr:colOff>
      <xdr:row>29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5E5DBE9-DF73-344D-843A-8C38B67C7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716000" cy="607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12</xdr:col>
      <xdr:colOff>381000</xdr:colOff>
      <xdr:row>93</xdr:row>
      <xdr:rowOff>101600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392C8FE-D070-1349-9F75-A246E43CD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10287000" cy="12903200"/>
        </a:xfrm>
        <a:prstGeom prst="rect">
          <a:avLst/>
        </a:prstGeom>
      </xdr:spPr>
    </xdr:pic>
    <xdr:clientData/>
  </xdr:twoCellAnchor>
  <xdr:twoCellAnchor editAs="oneCell">
    <xdr:from>
      <xdr:col>12</xdr:col>
      <xdr:colOff>469899</xdr:colOff>
      <xdr:row>30</xdr:row>
      <xdr:rowOff>25400</xdr:rowOff>
    </xdr:from>
    <xdr:to>
      <xdr:col>22</xdr:col>
      <xdr:colOff>345772</xdr:colOff>
      <xdr:row>56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CEF2B8-194C-4875-A97D-CD2179359C34}"/>
            </a:ext>
            <a:ext uri="{147F2762-F138-4A5C-976F-8EAC2B608ADB}">
              <a16:predDERef xmlns:a16="http://schemas.microsoft.com/office/drawing/2014/main" pred="{D392C8FE-D070-1349-9F75-A246E43CD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8299" y="6121400"/>
          <a:ext cx="8257873" cy="5410200"/>
        </a:xfrm>
        <a:prstGeom prst="rect">
          <a:avLst/>
        </a:prstGeom>
      </xdr:spPr>
    </xdr:pic>
    <xdr:clientData/>
  </xdr:twoCellAnchor>
  <xdr:twoCellAnchor editAs="oneCell">
    <xdr:from>
      <xdr:col>12</xdr:col>
      <xdr:colOff>368300</xdr:colOff>
      <xdr:row>55</xdr:row>
      <xdr:rowOff>165100</xdr:rowOff>
    </xdr:from>
    <xdr:to>
      <xdr:col>22</xdr:col>
      <xdr:colOff>723900</xdr:colOff>
      <xdr:row>74</xdr:row>
      <xdr:rowOff>22799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8C8B4C-1ED1-B24D-978E-5BFB0DC6C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11341100"/>
          <a:ext cx="8737600" cy="3718499"/>
        </a:xfrm>
        <a:prstGeom prst="rect">
          <a:avLst/>
        </a:prstGeom>
      </xdr:spPr>
    </xdr:pic>
    <xdr:clientData/>
  </xdr:twoCellAnchor>
  <xdr:twoCellAnchor editAs="oneCell">
    <xdr:from>
      <xdr:col>0</xdr:col>
      <xdr:colOff>464744</xdr:colOff>
      <xdr:row>93</xdr:row>
      <xdr:rowOff>114300</xdr:rowOff>
    </xdr:from>
    <xdr:to>
      <xdr:col>12</xdr:col>
      <xdr:colOff>178922</xdr:colOff>
      <xdr:row>131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BE0668-22B3-1642-AA4E-8E7E093A6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4744" y="19011900"/>
          <a:ext cx="9772578" cy="7759700"/>
        </a:xfrm>
        <a:prstGeom prst="rect">
          <a:avLst/>
        </a:prstGeom>
      </xdr:spPr>
    </xdr:pic>
    <xdr:clientData/>
  </xdr:twoCellAnchor>
  <xdr:twoCellAnchor>
    <xdr:from>
      <xdr:col>11</xdr:col>
      <xdr:colOff>825501</xdr:colOff>
      <xdr:row>78</xdr:row>
      <xdr:rowOff>190499</xdr:rowOff>
    </xdr:from>
    <xdr:to>
      <xdr:col>18</xdr:col>
      <xdr:colOff>233902</xdr:colOff>
      <xdr:row>108</xdr:row>
      <xdr:rowOff>190499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3F50BD44-3733-4199-B027-B64A5FCBAA5A}"/>
            </a:ext>
          </a:extLst>
        </xdr:cNvPr>
        <xdr:cNvGrpSpPr/>
      </xdr:nvGrpSpPr>
      <xdr:grpSpPr>
        <a:xfrm>
          <a:off x="10096501" y="16400317"/>
          <a:ext cx="5308128" cy="6234546"/>
          <a:chOff x="362472" y="1098675"/>
          <a:chExt cx="2775223" cy="4015980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E5CCFE5B-426D-4C5A-8807-77A8E07714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62472" y="1098675"/>
            <a:ext cx="2748501" cy="4015980"/>
          </a:xfrm>
          <a:prstGeom prst="rect">
            <a:avLst/>
          </a:prstGeom>
        </xdr:spPr>
      </xdr:pic>
      <xdr:sp macro="" textlink="">
        <xdr:nvSpPr>
          <xdr:cNvPr id="9" name="TextBox 7">
            <a:extLst>
              <a:ext uri="{FF2B5EF4-FFF2-40B4-BE49-F238E27FC236}">
                <a16:creationId xmlns:a16="http://schemas.microsoft.com/office/drawing/2014/main" id="{F1985EDE-7E3D-4B98-AA66-0B889A05FF18}"/>
              </a:ext>
            </a:extLst>
          </xdr:cNvPr>
          <xdr:cNvSpPr txBox="1"/>
        </xdr:nvSpPr>
        <xdr:spPr>
          <a:xfrm>
            <a:off x="389194" y="1107042"/>
            <a:ext cx="2748501" cy="225824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solidFill>
                  <a:schemeClr val="bg1"/>
                </a:solidFill>
              </a:rPr>
              <a:t>High-Bandwidth Macro (2Gbit 8Ch)</a:t>
            </a:r>
          </a:p>
        </xdr:txBody>
      </xdr:sp>
    </xdr:grpSp>
    <xdr:clientData/>
  </xdr:twoCellAnchor>
  <xdr:twoCellAnchor>
    <xdr:from>
      <xdr:col>18</xdr:col>
      <xdr:colOff>800100</xdr:colOff>
      <xdr:row>78</xdr:row>
      <xdr:rowOff>177800</xdr:rowOff>
    </xdr:from>
    <xdr:to>
      <xdr:col>24</xdr:col>
      <xdr:colOff>469885</xdr:colOff>
      <xdr:row>108</xdr:row>
      <xdr:rowOff>127000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4C75298-AFA8-4C6A-ADB6-442FD65CF333}"/>
            </a:ext>
          </a:extLst>
        </xdr:cNvPr>
        <xdr:cNvGrpSpPr/>
      </xdr:nvGrpSpPr>
      <xdr:grpSpPr>
        <a:xfrm>
          <a:off x="15970827" y="16387618"/>
          <a:ext cx="4726694" cy="6183746"/>
          <a:chOff x="495703" y="1014805"/>
          <a:chExt cx="2324085" cy="4212803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9429AB7E-FDB7-4A53-AF57-CB98B0FCCE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495703" y="1014805"/>
            <a:ext cx="2324084" cy="4212803"/>
          </a:xfrm>
          <a:prstGeom prst="rect">
            <a:avLst/>
          </a:prstGeom>
        </xdr:spPr>
      </xdr:pic>
      <xdr:sp macro="" textlink="">
        <xdr:nvSpPr>
          <xdr:cNvPr id="12" name="TextBox 1">
            <a:extLst>
              <a:ext uri="{FF2B5EF4-FFF2-40B4-BE49-F238E27FC236}">
                <a16:creationId xmlns:a16="http://schemas.microsoft.com/office/drawing/2014/main" id="{B3BD3068-2E66-4941-A844-33A769AD6190}"/>
              </a:ext>
            </a:extLst>
          </xdr:cNvPr>
          <xdr:cNvSpPr txBox="1"/>
        </xdr:nvSpPr>
        <xdr:spPr>
          <a:xfrm>
            <a:off x="495704" y="1022066"/>
            <a:ext cx="2324084" cy="238882"/>
          </a:xfrm>
          <a:prstGeom prst="rect">
            <a:avLst/>
          </a:prstGeom>
          <a:solidFill>
            <a:schemeClr val="tx2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solidFill>
                  <a:schemeClr val="bg1"/>
                </a:solidFill>
              </a:rPr>
              <a:t>High-Capacity Macro (1Gbit 1Ch)</a:t>
            </a:r>
          </a:p>
        </xdr:txBody>
      </xdr:sp>
    </xdr:grpSp>
    <xdr:clientData/>
  </xdr:twoCellAnchor>
  <xdr:twoCellAnchor editAs="oneCell">
    <xdr:from>
      <xdr:col>0</xdr:col>
      <xdr:colOff>0</xdr:colOff>
      <xdr:row>134</xdr:row>
      <xdr:rowOff>0</xdr:rowOff>
    </xdr:from>
    <xdr:to>
      <xdr:col>14</xdr:col>
      <xdr:colOff>457200</xdr:colOff>
      <xdr:row>167</xdr:row>
      <xdr:rowOff>152400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70FB6D6-9CF2-B546-8D2B-A3896B3C5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7228800"/>
          <a:ext cx="12192000" cy="685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29</xdr:col>
      <xdr:colOff>457200</xdr:colOff>
      <xdr:row>167</xdr:row>
      <xdr:rowOff>152400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CB72DE4C-6A44-D942-9170-C78733D76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573000" y="27228800"/>
          <a:ext cx="12192000" cy="6858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u, Derchang" id="{15E33EEA-6462-0B4B-A4AD-28EC478BE4B7}" userId="S::derchang.kau@intel.com::b9148588-e694-4445-9765-2c9aad6149c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4" dT="2021-09-01T23:46:12.76" personId="{15E33EEA-6462-0B4B-A4AD-28EC478BE4B7}" id="{4E1AD8F3-B0AA-B746-A899-8DB73F390FA0}">
    <text>Based on page 7
16 global col + 1 ECC col
16 global row assumed</text>
  </threadedComment>
  <threadedComment ref="M34" dT="2021-09-01T23:46:12.76" personId="{15E33EEA-6462-0B4B-A4AD-28EC478BE4B7}" id="{22AF41B3-DEC8-EC4F-9AFE-AC13F33F2C2F}">
    <text>Based on page 7
16 global col + 1 ECC col
16 global row assumed</text>
  </threadedComment>
  <threadedComment ref="N34" dT="2021-09-01T23:46:12.76" personId="{15E33EEA-6462-0B4B-A4AD-28EC478BE4B7}" id="{8445432D-EA2B-514A-B63F-16EF786E93E6}">
    <text>Based on page 7
16 global col + 1 ECC col
16 global row assumed</text>
  </threadedComment>
  <threadedComment ref="O34" dT="2021-09-01T23:46:12.76" personId="{15E33EEA-6462-0B4B-A4AD-28EC478BE4B7}" id="{F9983225-537C-3B48-96DC-DAF8F3E3FBE0}">
    <text>Based on page 7
16 global col + 1 ECC col
16 global row assumed</text>
  </threadedComment>
  <threadedComment ref="Q34" dT="2021-09-01T23:46:12.76" personId="{15E33EEA-6462-0B4B-A4AD-28EC478BE4B7}" id="{209EA084-8F2C-CB47-9C19-863F79F25B38}">
    <text>Assumption: fixed Mat size 0f 0.5Mb
64 mat for each bank</text>
  </threadedComment>
  <threadedComment ref="R34" dT="2021-09-01T23:46:12.76" personId="{15E33EEA-6462-0B4B-A4AD-28EC478BE4B7}" id="{F4FC20CB-DCEF-7343-9475-4FE9651DDA9B}">
    <text>Assumption: fixed Mat size 0f 0.5Mb
64 mat for each bank</text>
  </threadedComment>
  <threadedComment ref="T34" dT="2021-09-01T23:46:12.76" personId="{15E33EEA-6462-0B4B-A4AD-28EC478BE4B7}" id="{909B9D90-3B64-C041-B333-C23560BB3D51}">
    <text>Assumption: fixed Mat size 0f 0.5Mb
64 mat for each bank</text>
  </threadedComment>
  <threadedComment ref="U34" dT="2021-09-01T23:46:12.76" personId="{15E33EEA-6462-0B4B-A4AD-28EC478BE4B7}" id="{B33CF372-6FA6-E94D-A3B4-F5A211683620}">
    <text>Assumption: fixed Mat size 0f 0.5Mb
64 mat for each bank</text>
  </threadedComment>
  <threadedComment ref="W34" dT="2021-09-01T23:46:12.76" personId="{15E33EEA-6462-0B4B-A4AD-28EC478BE4B7}" id="{60A0F203-0DA9-7E48-B07D-0973FC5411D1}">
    <text>Assumption: fixed Mat size 0f 0.5Mb
64 mat for each bank</text>
  </threadedComment>
  <threadedComment ref="X34" dT="2021-09-01T23:46:12.76" personId="{15E33EEA-6462-0B4B-A4AD-28EC478BE4B7}" id="{B95378C7-3B7F-E048-88EF-7315FAD17AC0}">
    <text>Assumption: fixed Mat size 0f 0.5Mb
64 mat for each bank</text>
  </threadedComment>
  <threadedComment ref="Y34" dT="2021-09-01T23:46:12.76" personId="{15E33EEA-6462-0B4B-A4AD-28EC478BE4B7}" id="{29AC2862-B4D4-A841-BE36-17F8A87255F0}">
    <text>Assumption: fixed Mat size 0f 0.5Mb
64 mat for each bank</text>
  </threadedComment>
  <threadedComment ref="Z34" dT="2021-09-01T23:46:12.76" personId="{15E33EEA-6462-0B4B-A4AD-28EC478BE4B7}" id="{69D961FA-46C5-9E42-B258-8366D4329CE2}">
    <text>Assumption: fixed Mat size 0f 0.5Mb
64 mat for each bank</text>
  </threadedComment>
  <threadedComment ref="L35" dT="2021-09-01T23:53:00.30" personId="{15E33EEA-6462-0B4B-A4AD-28EC478BE4B7}" id="{126B8CC0-3F3E-AA45-AA8F-52487B62F859}">
    <text>Based on page 7
16 global col + 1 ECC col</text>
  </threadedComment>
  <threadedComment ref="M35" dT="2021-09-01T23:53:00.30" personId="{15E33EEA-6462-0B4B-A4AD-28EC478BE4B7}" id="{B88AA04E-B9C4-044A-AA56-208B2F6FA890}">
    <text>Based on page 7
16 global col + 1 ECC col</text>
  </threadedComment>
  <threadedComment ref="N35" dT="2021-09-01T23:53:00.30" personId="{15E33EEA-6462-0B4B-A4AD-28EC478BE4B7}" id="{5B6E5B33-8362-D04A-B4DB-4D7A94DBA95C}">
    <text>Based on page 9
16 global col + 1 ECC col</text>
  </threadedComment>
  <threadedComment ref="O35" dT="2021-09-01T23:53:00.30" personId="{15E33EEA-6462-0B4B-A4AD-28EC478BE4B7}" id="{5F631278-641C-C443-A03D-6B72DFB6E2D0}">
    <text>Based on page 9
16 global col + 1 ECC col</text>
  </threadedComment>
  <threadedComment ref="Q35" dT="2021-09-01T23:53:00.30" personId="{15E33EEA-6462-0B4B-A4AD-28EC478BE4B7}" id="{635CA7BE-A7C5-9444-B97D-B07363D75CE1}">
    <text>Assumption: fixed Mat size 0f 0.5Mb
64 mat for each bank
8 global col + 1 ECC col</text>
  </threadedComment>
  <threadedComment ref="R35" dT="2021-09-01T23:53:00.30" personId="{15E33EEA-6462-0B4B-A4AD-28EC478BE4B7}" id="{85FA3FF0-5675-114C-A42F-E4170EBD3FE0}">
    <text>Assumption: fixed Mat size 0f 0.5Mb
64 mat for each bank
8 global col + 1 ECC col</text>
  </threadedComment>
  <threadedComment ref="T35" dT="2021-09-01T23:53:00.30" personId="{15E33EEA-6462-0B4B-A4AD-28EC478BE4B7}" id="{D28A1795-CD04-A847-8ED9-BD00F2AE4E9B}">
    <text>Assumption: fixed Mat size 0f 0.5Mb
64 mat for each bank
8 global col + 1 ECC col</text>
  </threadedComment>
  <threadedComment ref="U35" dT="2021-09-01T23:53:00.30" personId="{15E33EEA-6462-0B4B-A4AD-28EC478BE4B7}" id="{A2C65FE0-3933-474A-B3FC-F246A70746CC}">
    <text>Assumption: fixed Mat size 0f 0.5Mb
64 mat for each bank
8 global col + 1 ECC col</text>
  </threadedComment>
  <threadedComment ref="W35" dT="2021-09-01T23:53:00.30" personId="{15E33EEA-6462-0B4B-A4AD-28EC478BE4B7}" id="{399962CD-77FF-644D-AD8E-C931481CC868}">
    <text>Assumption: fixed Mat size 0f 0.5Mb
64 mat for each bank
8 global col + 1 ECC col</text>
  </threadedComment>
  <threadedComment ref="X35" dT="2021-09-01T23:53:00.30" personId="{15E33EEA-6462-0B4B-A4AD-28EC478BE4B7}" id="{A366E0FB-A558-D747-B3EE-AE7D9413A888}">
    <text>Assumption: fixed Mat size 0f 0.5Mb
64 mat for each bank
8 global col + 1 ECC col</text>
  </threadedComment>
  <threadedComment ref="Y35" dT="2021-09-01T23:53:00.30" personId="{15E33EEA-6462-0B4B-A4AD-28EC478BE4B7}" id="{17FBC4E9-2051-D247-BE6E-3263C19F66F7}">
    <text>Assumption: fixed Mat size 0f 0.5Mb
64 mat for each bank
8 global col + 1 ECC col</text>
  </threadedComment>
  <threadedComment ref="Z35" dT="2021-09-01T23:53:00.30" personId="{15E33EEA-6462-0B4B-A4AD-28EC478BE4B7}" id="{C792BE65-CDB2-C04E-A25E-FDEE0075D0D0}">
    <text>Assumption: fixed Mat size 0f 0.5Mb
64 mat for each bank
8 global col + 1 ECC col</text>
  </threadedComment>
  <threadedComment ref="L36" dT="2021-09-01T23:53:15.90" personId="{15E33EEA-6462-0B4B-A4AD-28EC478BE4B7}" id="{AEFA659A-CF37-7E44-B09B-F4B9CEC03494}">
    <text>16 global row assumed</text>
  </threadedComment>
  <threadedComment ref="M36" dT="2021-09-01T23:53:15.90" personId="{15E33EEA-6462-0B4B-A4AD-28EC478BE4B7}" id="{EF490253-0D90-394B-80C8-A13C4BF6BB17}">
    <text>16 global row assumed</text>
  </threadedComment>
  <threadedComment ref="N36" dT="2021-09-01T23:53:15.90" personId="{15E33EEA-6462-0B4B-A4AD-28EC478BE4B7}" id="{549B96BE-800C-5C44-8642-FF42D9A605FE}">
    <text>32 global row assumed</text>
  </threadedComment>
  <threadedComment ref="O36" dT="2021-09-01T23:53:15.90" personId="{15E33EEA-6462-0B4B-A4AD-28EC478BE4B7}" id="{A92EED6C-F2B4-3A4E-B215-FF11B8B784BA}">
    <text>16 global row assumed</text>
  </threadedComment>
  <threadedComment ref="Q36" dT="2021-09-01T23:53:15.90" personId="{15E33EEA-6462-0B4B-A4AD-28EC478BE4B7}" id="{790F844C-2598-1441-A7FA-4A428727EA10}">
    <text xml:space="preserve">Assumption: fixed Mat size 0f 0.5Mb
64 mat for each bank
8 global row assumed </text>
  </threadedComment>
  <threadedComment ref="R36" dT="2021-09-01T23:53:15.90" personId="{15E33EEA-6462-0B4B-A4AD-28EC478BE4B7}" id="{F2B06757-E77C-E245-91F6-0390B3506A44}">
    <text xml:space="preserve">Assumption: fixed Mat size 0f 0.5Mb
64 mat for each bank
8 global row assumed </text>
  </threadedComment>
  <threadedComment ref="T36" dT="2021-09-01T23:53:15.90" personId="{15E33EEA-6462-0B4B-A4AD-28EC478BE4B7}" id="{D3F73A05-4210-DF48-8277-A3200D04E89E}">
    <text xml:space="preserve">Assumption: fixed Mat size 0f 0.5Mb
64 mat for each bank
8 global row assumed </text>
  </threadedComment>
  <threadedComment ref="U36" dT="2021-09-01T23:53:15.90" personId="{15E33EEA-6462-0B4B-A4AD-28EC478BE4B7}" id="{0733252B-6FD5-4447-862D-CB70DA4C3D96}">
    <text xml:space="preserve">Assumption: fixed Mat size 0f 0.5Mb
64 mat for each bank
8 global row assumed </text>
  </threadedComment>
  <threadedComment ref="W36" dT="2021-09-01T23:53:15.90" personId="{15E33EEA-6462-0B4B-A4AD-28EC478BE4B7}" id="{2B7882C3-D0DF-7D42-87BA-42587561A01F}">
    <text xml:space="preserve">Assumption: fixed Mat size 0f 0.5Mb
64 mat for each bank
8 global row assumed </text>
  </threadedComment>
  <threadedComment ref="X36" dT="2021-09-01T23:53:15.90" personId="{15E33EEA-6462-0B4B-A4AD-28EC478BE4B7}" id="{01AA43B4-64BA-6447-9B72-1F99575C3309}">
    <text xml:space="preserve">Assumption: fixed Mat size 0f 0.5Mb
64 mat for each bank
8 global row assumed </text>
  </threadedComment>
  <threadedComment ref="Y36" dT="2021-09-01T23:53:15.90" personId="{15E33EEA-6462-0B4B-A4AD-28EC478BE4B7}" id="{EDCBD708-49C0-6946-8657-269C3582BC4B}">
    <text xml:space="preserve">Assumption: fixed Mat size 0f 0.5Mb
64 mat for each bank
8 global row assumed </text>
  </threadedComment>
  <threadedComment ref="Z36" dT="2021-09-01T23:53:15.90" personId="{15E33EEA-6462-0B4B-A4AD-28EC478BE4B7}" id="{016FC0E0-B779-7745-B3D8-61F4D754232C}">
    <text xml:space="preserve">Assumption: fixed Mat size 0f 0.5Mb
64 mat for each bank
8 global row assumed </text>
  </threadedComment>
  <threadedComment ref="F43" dT="2021-09-02T00:23:03.62" personId="{15E33EEA-6462-0B4B-A4AD-28EC478BE4B7}" id="{31D2A802-F5AC-5E48-A675-0C38722241CB}">
    <text>It may also be 1024
  Page buffer become 16Kb 
  BL32 if needed</text>
  </threadedComment>
  <threadedComment ref="G43" dT="2021-09-02T00:23:03.62" personId="{15E33EEA-6462-0B4B-A4AD-28EC478BE4B7}" id="{D70A0B66-B151-6A47-8E0E-8DB93F80F0B3}">
    <text>It may also be 1024
  Page buffer become 16Kb 
  BL32 if needed</text>
  </threadedComment>
  <threadedComment ref="H43" dT="2021-09-02T00:23:03.62" personId="{15E33EEA-6462-0B4B-A4AD-28EC478BE4B7}" id="{04FCD0CA-D310-4042-B55E-2AE198E63305}">
    <text>It may also be 1024
  Page buffer become 16Kb 
  BL32 if needed</text>
  </threadedComment>
  <threadedComment ref="L43" dT="2021-09-02T00:23:03.62" personId="{15E33EEA-6462-0B4B-A4AD-28EC478BE4B7}" id="{BDA9551F-EE28-4A47-8958-B0AA2D984B9A}">
    <text>It may also be 1024
  Page buffer become 16Kb 
  BL32 if needed</text>
  </threadedComment>
  <threadedComment ref="M43" dT="2021-09-02T00:23:03.62" personId="{15E33EEA-6462-0B4B-A4AD-28EC478BE4B7}" id="{52D1A93C-29DA-C540-80C6-E23411281DC5}">
    <text>It may also be 1024
  Page buffer become 16Kb 
  BL32 if needed</text>
  </threadedComment>
  <threadedComment ref="N43" dT="2021-09-02T00:23:03.62" personId="{15E33EEA-6462-0B4B-A4AD-28EC478BE4B7}" id="{23311DCB-81FA-BF4A-B7C9-696263AA0B26}">
    <text>It may also be 1024
  Page buffer become 16Kb 
  BL32 if needed</text>
  </threadedComment>
  <threadedComment ref="O43" dT="2021-09-02T00:23:03.62" personId="{15E33EEA-6462-0B4B-A4AD-28EC478BE4B7}" id="{CAAFC797-6BDF-9E4F-BC59-A780B67CB333}">
    <text>It may also be 1024
  Page buffer become 16Kb 
  BL32 if needed</text>
  </threadedComment>
  <threadedComment ref="Q43" dT="2021-09-02T00:23:03.62" personId="{15E33EEA-6462-0B4B-A4AD-28EC478BE4B7}" id="{1E626BD2-EBA9-7041-9FC5-F1234D2E6B3B}">
    <text>It may also be 1024
  Page buffer become 16Kb 
  BL32 if needed</text>
  </threadedComment>
  <threadedComment ref="R43" dT="2021-09-02T00:23:03.62" personId="{15E33EEA-6462-0B4B-A4AD-28EC478BE4B7}" id="{E2775972-6F5A-CD49-9601-72FAC2BECD49}">
    <text>It may also be 1024
  Page buffer become 16Kb 
  BL32 if needed</text>
  </threadedComment>
  <threadedComment ref="T43" dT="2021-09-02T00:23:03.62" personId="{15E33EEA-6462-0B4B-A4AD-28EC478BE4B7}" id="{777122C1-CC71-B94A-A2FE-00865CC2AD45}">
    <text>It may also be 1024
  Page buffer become 16Kb 
  BL32 if needed</text>
  </threadedComment>
  <threadedComment ref="U43" dT="2021-09-02T00:23:03.62" personId="{15E33EEA-6462-0B4B-A4AD-28EC478BE4B7}" id="{0CC1D6D8-03CB-9043-BCAB-9BA25B0F9C07}">
    <text>It may also be 1024
  Page buffer become 16Kb 
  BL32 if needed</text>
  </threadedComment>
  <threadedComment ref="W43" dT="2021-09-02T00:23:03.62" personId="{15E33EEA-6462-0B4B-A4AD-28EC478BE4B7}" id="{C7258091-3981-2F42-AFC9-ABFFBDEDE21E}">
    <text>It may also be 1024
  Page buffer become 16Kb 
  BL32 if needed</text>
  </threadedComment>
  <threadedComment ref="X43" dT="2021-09-02T00:23:03.62" personId="{15E33EEA-6462-0B4B-A4AD-28EC478BE4B7}" id="{20023FA1-6E36-714F-8F35-D9931205F071}">
    <text>It may also be 1024
  Page buffer become 16Kb 
  BL32 if needed</text>
  </threadedComment>
  <threadedComment ref="Y43" dT="2021-09-02T00:23:03.62" personId="{15E33EEA-6462-0B4B-A4AD-28EC478BE4B7}" id="{E3A5E073-CB84-CA40-978E-477D7FEF3834}">
    <text>It may also be 1024
  Page buffer become 16Kb 
  BL32 if needed</text>
  </threadedComment>
  <threadedComment ref="Z43" dT="2021-09-02T00:23:03.62" personId="{15E33EEA-6462-0B4B-A4AD-28EC478BE4B7}" id="{C1FF6940-7680-5340-B38D-FF482D5766AC}">
    <text>It may also be 1024
  Page buffer become 16Kb 
  BL32 if needed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qdpma.com/ServerSystems/DRAM.html" TargetMode="Externa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8731-7C5E-814F-87E2-60B86A996711}">
  <dimension ref="A1:AU112"/>
  <sheetViews>
    <sheetView zoomScale="140" zoomScaleNormal="140" workbookViewId="0">
      <pane xSplit="5" ySplit="2" topLeftCell="F6" activePane="bottomRight" state="frozen"/>
      <selection pane="topRight" activeCell="F1" sqref="F1"/>
      <selection pane="bottomLeft" activeCell="A3" sqref="A3"/>
      <selection pane="bottomRight" activeCell="I18" sqref="I18"/>
    </sheetView>
  </sheetViews>
  <sheetFormatPr baseColWidth="10" defaultColWidth="10.83203125" defaultRowHeight="16" outlineLevelRow="1" outlineLevelCol="1" x14ac:dyDescent="0.2"/>
  <cols>
    <col min="1" max="1" width="6.83203125" style="38" customWidth="1"/>
    <col min="2" max="2" width="29.6640625" style="1" bestFit="1" customWidth="1"/>
    <col min="3" max="3" width="12.6640625" style="37" bestFit="1" customWidth="1"/>
    <col min="4" max="4" width="13.33203125" style="2" bestFit="1" customWidth="1"/>
    <col min="5" max="5" width="1" style="26" customWidth="1"/>
    <col min="6" max="10" width="13.33203125" style="2" customWidth="1"/>
    <col min="11" max="11" width="1" style="26" customWidth="1"/>
    <col min="12" max="15" width="13.33203125" style="2" hidden="1" customWidth="1" outlineLevel="1"/>
    <col min="16" max="16" width="1" style="26" hidden="1" customWidth="1" outlineLevel="1"/>
    <col min="17" max="17" width="13.33203125" style="2" hidden="1" customWidth="1" outlineLevel="1"/>
    <col min="18" max="18" width="13.33203125" style="2" customWidth="1" collapsed="1"/>
    <col min="19" max="19" width="1" style="26" customWidth="1"/>
    <col min="20" max="21" width="13.33203125" style="2" hidden="1" customWidth="1" outlineLevel="1"/>
    <col min="22" max="22" width="1" style="26" hidden="1" customWidth="1" outlineLevel="1"/>
    <col min="23" max="23" width="13.33203125" style="2" customWidth="1" collapsed="1"/>
    <col min="24" max="26" width="13.33203125" style="2" customWidth="1"/>
    <col min="27" max="27" width="1" style="26" customWidth="1"/>
    <col min="28" max="30" width="13.33203125" style="2" customWidth="1"/>
    <col min="31" max="31" width="1" style="26" customWidth="1"/>
    <col min="32" max="33" width="13.33203125" style="2" customWidth="1"/>
    <col min="34" max="35" width="13.5" style="37" bestFit="1" customWidth="1"/>
    <col min="36" max="36" width="13.5" style="37" customWidth="1"/>
    <col min="37" max="38" width="13.5" style="37" bestFit="1" customWidth="1"/>
    <col min="39" max="41" width="10.83203125" style="4"/>
    <col min="42" max="45" width="10.5" style="4" customWidth="1"/>
    <col min="46" max="46" width="13.83203125" style="4" bestFit="1" customWidth="1"/>
    <col min="47" max="47" width="10.5" style="4" customWidth="1"/>
    <col min="48" max="16384" width="10.83203125" style="4"/>
  </cols>
  <sheetData>
    <row r="1" spans="1:47" customFormat="1" ht="105" customHeight="1" x14ac:dyDescent="0.2">
      <c r="A1" s="23"/>
      <c r="B1" s="20"/>
      <c r="C1" s="21"/>
      <c r="D1" s="36" t="s">
        <v>184</v>
      </c>
      <c r="E1" s="30"/>
      <c r="F1" s="42" t="s">
        <v>200</v>
      </c>
      <c r="G1" s="42"/>
      <c r="H1" s="42"/>
      <c r="I1" s="40" t="s">
        <v>203</v>
      </c>
      <c r="J1" s="40" t="s">
        <v>205</v>
      </c>
      <c r="K1" s="30"/>
      <c r="L1" s="42" t="s">
        <v>185</v>
      </c>
      <c r="M1" s="42"/>
      <c r="N1" s="42" t="s">
        <v>186</v>
      </c>
      <c r="O1" s="42"/>
      <c r="P1" s="30"/>
      <c r="Q1" s="42" t="s">
        <v>0</v>
      </c>
      <c r="R1" s="42"/>
      <c r="S1" s="30"/>
      <c r="T1" s="42" t="s">
        <v>1</v>
      </c>
      <c r="U1" s="42"/>
      <c r="V1" s="30"/>
      <c r="W1" s="42" t="s">
        <v>2</v>
      </c>
      <c r="X1" s="42"/>
      <c r="Y1" s="42"/>
      <c r="Z1" s="42"/>
      <c r="AA1" s="30"/>
      <c r="AB1" s="42" t="s">
        <v>199</v>
      </c>
      <c r="AC1" s="42"/>
      <c r="AD1" s="42"/>
      <c r="AE1" s="30"/>
      <c r="AF1" s="36"/>
      <c r="AG1" s="36"/>
      <c r="AH1" s="22" t="s">
        <v>3</v>
      </c>
      <c r="AI1" s="22" t="s">
        <v>4</v>
      </c>
      <c r="AJ1" s="22"/>
      <c r="AK1" s="22" t="s">
        <v>5</v>
      </c>
      <c r="AL1" s="22" t="s">
        <v>6</v>
      </c>
      <c r="AM1" s="23" t="s">
        <v>7</v>
      </c>
      <c r="AN1" s="23"/>
    </row>
    <row r="2" spans="1:47" x14ac:dyDescent="0.2">
      <c r="B2" s="1" t="s">
        <v>8</v>
      </c>
      <c r="C2" s="37" t="s">
        <v>9</v>
      </c>
      <c r="D2" s="2" t="s">
        <v>10</v>
      </c>
      <c r="F2" s="2" t="s">
        <v>201</v>
      </c>
      <c r="G2" s="2" t="s">
        <v>202</v>
      </c>
      <c r="H2" s="2" t="s">
        <v>204</v>
      </c>
      <c r="I2" s="2" t="s">
        <v>196</v>
      </c>
      <c r="J2" s="2" t="s">
        <v>196</v>
      </c>
      <c r="L2" s="2" t="s">
        <v>11</v>
      </c>
      <c r="M2" s="2" t="s">
        <v>12</v>
      </c>
      <c r="N2" s="2" t="s">
        <v>11</v>
      </c>
      <c r="O2" s="2" t="s">
        <v>11</v>
      </c>
      <c r="Q2" s="2" t="s">
        <v>187</v>
      </c>
      <c r="R2" s="2" t="s">
        <v>188</v>
      </c>
      <c r="T2" s="2" t="s">
        <v>187</v>
      </c>
      <c r="U2" s="2" t="s">
        <v>13</v>
      </c>
      <c r="W2" s="2" t="s">
        <v>13</v>
      </c>
      <c r="X2" s="2" t="s">
        <v>14</v>
      </c>
      <c r="Y2" s="2" t="s">
        <v>15</v>
      </c>
      <c r="Z2" s="2" t="s">
        <v>16</v>
      </c>
      <c r="AB2" s="2" t="s">
        <v>196</v>
      </c>
      <c r="AC2" s="2" t="s">
        <v>197</v>
      </c>
      <c r="AD2" s="2" t="s">
        <v>196</v>
      </c>
      <c r="AH2" s="37">
        <v>22</v>
      </c>
      <c r="AI2" s="3">
        <v>16</v>
      </c>
      <c r="AJ2" s="3"/>
      <c r="AK2" s="3">
        <v>18</v>
      </c>
      <c r="AL2" s="3">
        <v>19</v>
      </c>
      <c r="AM2" s="3">
        <v>19</v>
      </c>
      <c r="AN2" s="3"/>
      <c r="AP2" s="1" t="s">
        <v>17</v>
      </c>
      <c r="AQ2" s="5" t="s">
        <v>18</v>
      </c>
    </row>
    <row r="3" spans="1:47" hidden="1" outlineLevel="1" x14ac:dyDescent="0.2">
      <c r="B3" s="1" t="s">
        <v>19</v>
      </c>
      <c r="D3" s="2" t="s">
        <v>20</v>
      </c>
      <c r="AI3" s="3"/>
      <c r="AJ3" s="3"/>
      <c r="AK3" s="3"/>
      <c r="AL3" s="3"/>
      <c r="AM3" s="3"/>
      <c r="AN3" s="3"/>
      <c r="AP3" s="6" t="s">
        <v>21</v>
      </c>
    </row>
    <row r="4" spans="1:47" hidden="1" outlineLevel="1" x14ac:dyDescent="0.2">
      <c r="B4" s="1" t="s">
        <v>22</v>
      </c>
      <c r="D4" s="2" t="s">
        <v>23</v>
      </c>
      <c r="AI4" s="3"/>
      <c r="AJ4" s="3"/>
      <c r="AK4" s="3"/>
      <c r="AL4" s="3"/>
      <c r="AM4" s="3"/>
      <c r="AN4" s="3"/>
      <c r="AP4" s="7" t="s">
        <v>24</v>
      </c>
      <c r="AQ4" s="7" t="s">
        <v>25</v>
      </c>
      <c r="AR4" s="7" t="s">
        <v>26</v>
      </c>
      <c r="AS4" s="7" t="s">
        <v>27</v>
      </c>
      <c r="AT4" s="7" t="s">
        <v>28</v>
      </c>
    </row>
    <row r="5" spans="1:47" hidden="1" outlineLevel="1" x14ac:dyDescent="0.2">
      <c r="B5" s="1" t="s">
        <v>29</v>
      </c>
      <c r="D5" s="2" t="s">
        <v>30</v>
      </c>
      <c r="AH5" s="37">
        <v>6</v>
      </c>
      <c r="AI5" s="3"/>
      <c r="AJ5" s="3"/>
      <c r="AK5" s="3"/>
      <c r="AL5" s="3"/>
      <c r="AM5" s="3"/>
      <c r="AN5" s="3"/>
      <c r="AP5" s="8" t="s">
        <v>31</v>
      </c>
      <c r="AQ5" s="8" t="s">
        <v>32</v>
      </c>
      <c r="AR5" s="8">
        <v>16</v>
      </c>
      <c r="AS5" s="8" t="s">
        <v>33</v>
      </c>
      <c r="AT5" s="8" t="s">
        <v>34</v>
      </c>
    </row>
    <row r="6" spans="1:47" s="28" customFormat="1" ht="5" customHeight="1" collapsed="1" x14ac:dyDescent="0.2">
      <c r="A6" s="39"/>
      <c r="B6" s="24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5"/>
      <c r="AI6" s="27"/>
      <c r="AJ6" s="27"/>
      <c r="AK6" s="27"/>
      <c r="AL6" s="27"/>
      <c r="AM6" s="27"/>
      <c r="AN6" s="27"/>
      <c r="AP6" s="29"/>
      <c r="AQ6" s="29"/>
      <c r="AR6" s="29"/>
      <c r="AS6" s="29"/>
      <c r="AT6" s="29"/>
    </row>
    <row r="7" spans="1:47" ht="16" customHeight="1" x14ac:dyDescent="0.2">
      <c r="A7" s="43" t="s">
        <v>35</v>
      </c>
      <c r="B7" s="35" t="s">
        <v>36</v>
      </c>
      <c r="C7" s="37" t="s">
        <v>37</v>
      </c>
      <c r="D7" s="2">
        <f>512*8/1024</f>
        <v>4</v>
      </c>
      <c r="F7" s="2">
        <v>16</v>
      </c>
      <c r="G7" s="2">
        <v>16</v>
      </c>
      <c r="H7" s="2">
        <v>16</v>
      </c>
      <c r="I7" s="2">
        <v>2</v>
      </c>
      <c r="J7" s="2">
        <v>1</v>
      </c>
      <c r="L7" s="2">
        <v>2</v>
      </c>
      <c r="M7" s="2">
        <v>2</v>
      </c>
      <c r="N7" s="2">
        <v>2</v>
      </c>
      <c r="O7" s="2">
        <v>2</v>
      </c>
      <c r="Q7" s="2">
        <v>2</v>
      </c>
      <c r="R7" s="2">
        <v>2</v>
      </c>
      <c r="T7" s="2">
        <v>4</v>
      </c>
      <c r="U7" s="2">
        <v>4</v>
      </c>
      <c r="W7" s="2">
        <v>2</v>
      </c>
      <c r="X7" s="2">
        <v>2</v>
      </c>
      <c r="Y7" s="2">
        <v>2</v>
      </c>
      <c r="Z7" s="2">
        <v>2</v>
      </c>
      <c r="AB7" s="2">
        <v>2</v>
      </c>
      <c r="AC7" s="2">
        <v>2</v>
      </c>
      <c r="AD7" s="2">
        <v>1</v>
      </c>
      <c r="AH7" s="37">
        <v>1</v>
      </c>
      <c r="AI7" s="37">
        <v>8</v>
      </c>
      <c r="AK7" s="37">
        <v>8</v>
      </c>
      <c r="AL7" s="37">
        <v>8</v>
      </c>
      <c r="AM7" s="37">
        <v>8</v>
      </c>
      <c r="AN7" s="37"/>
      <c r="AP7" s="8" t="s">
        <v>38</v>
      </c>
      <c r="AQ7" s="8" t="s">
        <v>39</v>
      </c>
      <c r="AR7" s="8">
        <v>16</v>
      </c>
      <c r="AS7" s="8" t="s">
        <v>40</v>
      </c>
      <c r="AT7" s="8" t="s">
        <v>41</v>
      </c>
      <c r="AU7" s="7" t="s">
        <v>42</v>
      </c>
    </row>
    <row r="8" spans="1:47" ht="19" x14ac:dyDescent="0.2">
      <c r="A8" s="43"/>
      <c r="B8" s="35" t="s">
        <v>43</v>
      </c>
      <c r="C8" s="37" t="s">
        <v>44</v>
      </c>
      <c r="D8" s="2">
        <v>140</v>
      </c>
      <c r="F8" s="2">
        <f>F7*1024/F9</f>
        <v>104.1709053916582</v>
      </c>
      <c r="G8" s="2">
        <f>G7*1024/G9</f>
        <v>115.0561797752809</v>
      </c>
      <c r="H8" s="2">
        <f>H7*1024/H9</f>
        <v>60.717462199822123</v>
      </c>
      <c r="I8" s="2">
        <v>16.07</v>
      </c>
      <c r="J8" s="2">
        <f>J7*1024/J9</f>
        <v>6.6770996348461127</v>
      </c>
      <c r="L8" s="2">
        <v>37.6</v>
      </c>
      <c r="M8" s="2">
        <v>32.200000000000003</v>
      </c>
      <c r="N8" s="2">
        <v>24.2</v>
      </c>
      <c r="O8" s="2">
        <v>24.2</v>
      </c>
      <c r="Q8" s="2">
        <v>23.95</v>
      </c>
      <c r="R8" s="2">
        <v>15.85</v>
      </c>
      <c r="T8" s="2">
        <v>43.21</v>
      </c>
      <c r="U8" s="2">
        <v>27.73</v>
      </c>
      <c r="W8" s="2">
        <v>26.33</v>
      </c>
      <c r="X8" s="2">
        <v>32.28</v>
      </c>
      <c r="Y8" s="2">
        <v>27.1</v>
      </c>
      <c r="Z8" s="2">
        <v>22.69</v>
      </c>
      <c r="AB8" s="2">
        <v>16.07</v>
      </c>
      <c r="AC8" s="2">
        <v>23.8</v>
      </c>
      <c r="AD8" s="2">
        <v>9.9</v>
      </c>
      <c r="AH8" s="37">
        <v>77</v>
      </c>
      <c r="AI8" s="37">
        <v>33.200000000000003</v>
      </c>
      <c r="AK8" s="37">
        <v>42.13</v>
      </c>
      <c r="AL8" s="37">
        <v>58.48</v>
      </c>
      <c r="AM8" s="37">
        <v>41.8</v>
      </c>
      <c r="AN8" s="37"/>
      <c r="AP8" s="8" t="s">
        <v>45</v>
      </c>
      <c r="AQ8" s="8" t="s">
        <v>46</v>
      </c>
      <c r="AR8" s="8">
        <v>128</v>
      </c>
      <c r="AS8" s="8" t="s">
        <v>47</v>
      </c>
      <c r="AT8" s="8" t="s">
        <v>48</v>
      </c>
      <c r="AU8" s="8" t="s">
        <v>49</v>
      </c>
    </row>
    <row r="9" spans="1:47" ht="19" customHeight="1" x14ac:dyDescent="0.2">
      <c r="A9" s="43"/>
      <c r="B9" s="1" t="s">
        <v>25</v>
      </c>
      <c r="C9" s="37" t="s">
        <v>50</v>
      </c>
      <c r="D9" s="9">
        <f>0.5*8*1024/100</f>
        <v>40.96</v>
      </c>
      <c r="E9" s="31"/>
      <c r="F9" s="9">
        <f>19.66*8</f>
        <v>157.28</v>
      </c>
      <c r="G9" s="9">
        <f>17.8*8</f>
        <v>142.4</v>
      </c>
      <c r="H9" s="9">
        <f>33.73*8</f>
        <v>269.83999999999997</v>
      </c>
      <c r="I9" s="9">
        <f>I7/I8*1024</f>
        <v>127.44243932794026</v>
      </c>
      <c r="J9" s="9">
        <f>19.17*8</f>
        <v>153.36000000000001</v>
      </c>
      <c r="K9" s="31"/>
      <c r="L9" s="9">
        <f>L7/L8*1024</f>
        <v>54.468085106382979</v>
      </c>
      <c r="M9" s="9">
        <f>M7/M8*1024</f>
        <v>63.602484472049682</v>
      </c>
      <c r="N9" s="9">
        <f>N7/N8*1024</f>
        <v>84.628099173553721</v>
      </c>
      <c r="O9" s="9">
        <f>O7/O8*1024</f>
        <v>84.628099173553721</v>
      </c>
      <c r="P9" s="31"/>
      <c r="Q9" s="9">
        <f>Q7/Q8*1024</f>
        <v>85.511482254697285</v>
      </c>
      <c r="R9" s="9">
        <f>R7/R8*1024</f>
        <v>129.21135646687696</v>
      </c>
      <c r="S9" s="31"/>
      <c r="T9" s="9">
        <f>T7/T8*1024</f>
        <v>94.79287202036565</v>
      </c>
      <c r="U9" s="9">
        <f>U7/U8*1024</f>
        <v>147.71006130544535</v>
      </c>
      <c r="V9" s="31"/>
      <c r="W9" s="9">
        <f>W7/W8*1024</f>
        <v>77.781997721230539</v>
      </c>
      <c r="X9" s="9">
        <f>X7/X8*1024</f>
        <v>63.444857496902102</v>
      </c>
      <c r="Y9" s="9">
        <f>Y7/Y8*1024</f>
        <v>75.571955719557195</v>
      </c>
      <c r="Z9" s="9">
        <f>Z7/Z8*1024</f>
        <v>90.26002644336711</v>
      </c>
      <c r="AA9" s="31"/>
      <c r="AB9" s="9">
        <f>AB7/AB8*1024</f>
        <v>127.44243932794026</v>
      </c>
      <c r="AC9" s="9">
        <f>AC7/AC8*1024</f>
        <v>86.05042016806722</v>
      </c>
      <c r="AD9" s="9">
        <f>AD7/AD8*1024</f>
        <v>103.43434343434343</v>
      </c>
      <c r="AE9" s="31"/>
      <c r="AF9" s="9"/>
      <c r="AH9" s="12">
        <f>AH7/AH8</f>
        <v>1.2987012987012988E-2</v>
      </c>
      <c r="AI9" s="12">
        <f>AI7/AI8</f>
        <v>0.24096385542168672</v>
      </c>
      <c r="AJ9" s="12"/>
      <c r="AK9" s="12">
        <f>AK7/AK8</f>
        <v>0.18988844054118204</v>
      </c>
      <c r="AL9" s="12">
        <f>AL7/AL8</f>
        <v>0.13679890560875513</v>
      </c>
      <c r="AM9" s="12">
        <f>AM7/AM8</f>
        <v>0.19138755980861244</v>
      </c>
      <c r="AN9" s="12"/>
      <c r="AU9" s="8"/>
    </row>
    <row r="10" spans="1:47" ht="16" customHeight="1" x14ac:dyDescent="0.2">
      <c r="A10" s="43"/>
      <c r="B10" s="1" t="s">
        <v>189</v>
      </c>
      <c r="C10" s="37" t="s">
        <v>51</v>
      </c>
      <c r="D10" s="9">
        <f>D25*D11</f>
        <v>4096</v>
      </c>
      <c r="E10" s="31"/>
      <c r="F10" s="9">
        <f>F25*F11</f>
        <v>1024</v>
      </c>
      <c r="G10" s="9">
        <f>G25*G11</f>
        <v>1024</v>
      </c>
      <c r="H10" s="9">
        <f>H25*H11</f>
        <v>16</v>
      </c>
      <c r="I10" s="9">
        <f>I25*I11</f>
        <v>4096</v>
      </c>
      <c r="J10" s="9">
        <f>J25*J11</f>
        <v>512</v>
      </c>
      <c r="K10" s="31"/>
      <c r="L10" s="9">
        <f>L25*L11</f>
        <v>8192</v>
      </c>
      <c r="M10" s="9">
        <f>M25*M11</f>
        <v>8192</v>
      </c>
      <c r="N10" s="9">
        <f>N25*N11</f>
        <v>2048</v>
      </c>
      <c r="O10" s="9">
        <f>O25*O11</f>
        <v>2048</v>
      </c>
      <c r="P10" s="31"/>
      <c r="Q10" s="9">
        <f>Q25*Q11</f>
        <v>128</v>
      </c>
      <c r="R10" s="9">
        <f>R25*R11</f>
        <v>128</v>
      </c>
      <c r="S10" s="31"/>
      <c r="T10" s="9">
        <f>T25*T11</f>
        <v>256</v>
      </c>
      <c r="U10" s="9">
        <f>U25*U11</f>
        <v>256</v>
      </c>
      <c r="V10" s="31"/>
      <c r="W10" s="9">
        <f>W25*W11</f>
        <v>1024</v>
      </c>
      <c r="X10" s="9">
        <f>X25*X11</f>
        <v>1024</v>
      </c>
      <c r="Y10" s="9">
        <f>Y25*Y11</f>
        <v>512</v>
      </c>
      <c r="Z10" s="9">
        <f>Z25*Z11</f>
        <v>512</v>
      </c>
      <c r="AA10" s="31"/>
      <c r="AB10" s="9">
        <f>AB25*AB11</f>
        <v>4096</v>
      </c>
      <c r="AC10" s="9">
        <f>AC25*AC11</f>
        <v>4096</v>
      </c>
      <c r="AD10" s="9">
        <f>AD25*AD11</f>
        <v>4096</v>
      </c>
      <c r="AE10" s="31"/>
      <c r="AF10" s="9"/>
      <c r="AH10" s="9"/>
      <c r="AI10" s="13"/>
      <c r="AJ10" s="10"/>
      <c r="AK10" s="10"/>
      <c r="AL10" s="10"/>
      <c r="AM10" s="10"/>
      <c r="AN10" s="10"/>
    </row>
    <row r="11" spans="1:47" x14ac:dyDescent="0.2">
      <c r="A11" s="43"/>
      <c r="B11" s="35" t="s">
        <v>69</v>
      </c>
      <c r="C11" s="37" t="s">
        <v>70</v>
      </c>
      <c r="D11" s="9">
        <v>8</v>
      </c>
      <c r="E11" s="31"/>
      <c r="F11" s="9">
        <v>8</v>
      </c>
      <c r="G11" s="9">
        <v>16</v>
      </c>
      <c r="H11" s="9">
        <v>1</v>
      </c>
      <c r="I11" s="9">
        <v>8</v>
      </c>
      <c r="J11" s="9">
        <v>1</v>
      </c>
      <c r="K11" s="31"/>
      <c r="L11" s="9">
        <v>16</v>
      </c>
      <c r="M11" s="9">
        <v>16</v>
      </c>
      <c r="N11" s="9">
        <v>8</v>
      </c>
      <c r="O11" s="9">
        <v>8</v>
      </c>
      <c r="P11" s="31"/>
      <c r="Q11" s="9">
        <v>4</v>
      </c>
      <c r="R11" s="9">
        <v>4</v>
      </c>
      <c r="S11" s="31"/>
      <c r="T11" s="9">
        <v>4</v>
      </c>
      <c r="U11" s="9">
        <v>4</v>
      </c>
      <c r="V11" s="31"/>
      <c r="W11" s="9">
        <v>8</v>
      </c>
      <c r="X11" s="9">
        <v>16</v>
      </c>
      <c r="Y11" s="9">
        <v>8</v>
      </c>
      <c r="Z11" s="9">
        <v>8</v>
      </c>
      <c r="AA11" s="31"/>
      <c r="AB11" s="9">
        <v>8</v>
      </c>
      <c r="AC11" s="9">
        <v>8</v>
      </c>
      <c r="AD11" s="9">
        <v>8</v>
      </c>
      <c r="AE11" s="31"/>
      <c r="AF11" s="9"/>
      <c r="AM11" s="37"/>
      <c r="AN11" s="37"/>
    </row>
    <row r="12" spans="1:47" hidden="1" outlineLevel="1" x14ac:dyDescent="0.2">
      <c r="A12" s="43"/>
      <c r="B12" s="1" t="s">
        <v>76</v>
      </c>
      <c r="C12" s="37" t="s">
        <v>77</v>
      </c>
      <c r="D12" s="9">
        <f>D26*D11</f>
        <v>512</v>
      </c>
      <c r="E12" s="31"/>
      <c r="F12" s="9">
        <f>F26*F11</f>
        <v>256</v>
      </c>
      <c r="G12" s="9">
        <f>G26*G11</f>
        <v>512</v>
      </c>
      <c r="H12" s="9">
        <f>H26*H11</f>
        <v>16</v>
      </c>
      <c r="I12" s="9">
        <f>I26*I11</f>
        <v>64</v>
      </c>
      <c r="J12" s="9">
        <f>J26*J11</f>
        <v>8</v>
      </c>
      <c r="K12" s="31"/>
      <c r="L12" s="9">
        <f>L26*L11</f>
        <v>16</v>
      </c>
      <c r="M12" s="9">
        <f>M26*M11</f>
        <v>16</v>
      </c>
      <c r="N12" s="9">
        <f>N26*N11</f>
        <v>8</v>
      </c>
      <c r="O12" s="9">
        <f>O26*O11</f>
        <v>8</v>
      </c>
      <c r="P12" s="31"/>
      <c r="Q12" s="9">
        <f>Q26*Q11</f>
        <v>64</v>
      </c>
      <c r="R12" s="9">
        <f>R26*R11</f>
        <v>64</v>
      </c>
      <c r="S12" s="31"/>
      <c r="T12" s="9">
        <f>T26*T11</f>
        <v>64</v>
      </c>
      <c r="U12" s="9">
        <f>U26*U11</f>
        <v>64</v>
      </c>
      <c r="V12" s="31"/>
      <c r="W12" s="9">
        <f>W26*W11</f>
        <v>128</v>
      </c>
      <c r="X12" s="9">
        <f>X26*X11</f>
        <v>256</v>
      </c>
      <c r="Y12" s="9">
        <f>Y26*Y11</f>
        <v>256</v>
      </c>
      <c r="Z12" s="9">
        <f>Z26*Z11</f>
        <v>128</v>
      </c>
      <c r="AA12" s="31"/>
      <c r="AB12" s="9">
        <f>AB26*AB11</f>
        <v>64</v>
      </c>
      <c r="AC12" s="9">
        <f>AC26*AC11</f>
        <v>64</v>
      </c>
      <c r="AD12" s="9">
        <f>AD26*AD11</f>
        <v>64</v>
      </c>
      <c r="AE12" s="31"/>
      <c r="AF12" s="9"/>
      <c r="AH12" s="9">
        <v>512</v>
      </c>
      <c r="AI12" s="9">
        <v>32</v>
      </c>
      <c r="AJ12" s="10"/>
      <c r="AK12" s="10"/>
      <c r="AL12" s="10"/>
      <c r="AM12" s="10"/>
      <c r="AN12" s="10"/>
    </row>
    <row r="13" spans="1:47" ht="16" hidden="1" customHeight="1" outlineLevel="1" x14ac:dyDescent="0.2">
      <c r="A13" s="43"/>
      <c r="B13" s="1" t="s">
        <v>52</v>
      </c>
      <c r="C13" s="37" t="s">
        <v>51</v>
      </c>
      <c r="D13" s="9"/>
      <c r="E13" s="31"/>
      <c r="F13" s="9">
        <f>LOG(2*2^30/F25,2)</f>
        <v>24</v>
      </c>
      <c r="G13" s="9">
        <f>LOG(2*2^30/G25,2)</f>
        <v>25</v>
      </c>
      <c r="H13" s="9">
        <f>LOG(2*2^30/H25,2)</f>
        <v>27</v>
      </c>
      <c r="I13" s="9">
        <f>LOG(2*2^30/I25,2)</f>
        <v>22</v>
      </c>
      <c r="J13" s="9">
        <f>LOG(2*2^30/J25,2)</f>
        <v>22</v>
      </c>
      <c r="K13" s="31"/>
      <c r="L13" s="9">
        <f>LOG(2*2^30/L25,2)</f>
        <v>22</v>
      </c>
      <c r="M13" s="9">
        <f>LOG(2*2^30/M25,2)</f>
        <v>22</v>
      </c>
      <c r="N13" s="9">
        <f>LOG(2*2^30/N25,2)</f>
        <v>23</v>
      </c>
      <c r="O13" s="9">
        <f>LOG(2*2^30/O25,2)</f>
        <v>23</v>
      </c>
      <c r="P13" s="31"/>
      <c r="Q13" s="9">
        <f>LOG(2*2^30/Q25,2)</f>
        <v>26</v>
      </c>
      <c r="R13" s="9">
        <f>LOG(2*2^30/R25,2)</f>
        <v>26</v>
      </c>
      <c r="S13" s="31"/>
      <c r="T13" s="9">
        <f>LOG(2*2^30/T25,2)</f>
        <v>25</v>
      </c>
      <c r="U13" s="9">
        <f>LOG(2*2^30/U25,2)</f>
        <v>25</v>
      </c>
      <c r="V13" s="31"/>
      <c r="W13" s="9">
        <f>LOG(2*2^30/W25,2)</f>
        <v>24</v>
      </c>
      <c r="X13" s="9">
        <f>LOG(2*2^30/X25,2)</f>
        <v>25</v>
      </c>
      <c r="Y13" s="9">
        <f>LOG(2*2^30/Y25,2)</f>
        <v>25</v>
      </c>
      <c r="Z13" s="9">
        <f>LOG(2*2^30/Z25,2)</f>
        <v>25</v>
      </c>
      <c r="AA13" s="31"/>
      <c r="AB13" s="9">
        <f>LOG(2*2^30/AB25,2)</f>
        <v>22</v>
      </c>
      <c r="AC13" s="9">
        <f>LOG(2*2^30/AC25,2)</f>
        <v>22</v>
      </c>
      <c r="AD13" s="9">
        <f>LOG(2*2^30/AD25,2)</f>
        <v>22</v>
      </c>
      <c r="AE13" s="31"/>
      <c r="AF13" s="9"/>
      <c r="AH13" s="9"/>
      <c r="AI13" s="9"/>
      <c r="AJ13" s="10"/>
      <c r="AK13" s="10"/>
      <c r="AL13" s="10"/>
      <c r="AM13" s="10"/>
      <c r="AN13" s="10"/>
    </row>
    <row r="14" spans="1:47" collapsed="1" x14ac:dyDescent="0.2">
      <c r="A14" s="43"/>
      <c r="B14" s="35" t="s">
        <v>53</v>
      </c>
      <c r="C14" s="37" t="s">
        <v>54</v>
      </c>
      <c r="D14" s="2">
        <v>2</v>
      </c>
      <c r="F14" s="2">
        <v>3.2</v>
      </c>
      <c r="G14" s="2">
        <v>6.4</v>
      </c>
      <c r="H14" s="2">
        <v>6.4</v>
      </c>
      <c r="I14" s="2">
        <v>0.25</v>
      </c>
      <c r="J14" s="2">
        <v>0.25</v>
      </c>
      <c r="L14" s="2">
        <v>0.6</v>
      </c>
      <c r="M14" s="2">
        <v>0.6</v>
      </c>
      <c r="N14" s="2">
        <v>0.5</v>
      </c>
      <c r="O14" s="2">
        <v>0.5</v>
      </c>
      <c r="Q14" s="2">
        <v>2</v>
      </c>
      <c r="R14" s="2">
        <v>2</v>
      </c>
      <c r="T14" s="2">
        <v>2</v>
      </c>
      <c r="U14" s="2">
        <v>2</v>
      </c>
      <c r="W14" s="2">
        <v>2</v>
      </c>
      <c r="X14" s="2">
        <v>2</v>
      </c>
      <c r="Y14" s="2">
        <v>3</v>
      </c>
      <c r="Z14" s="2">
        <v>2</v>
      </c>
      <c r="AB14" s="2">
        <v>0.25</v>
      </c>
      <c r="AC14" s="2">
        <v>0.25</v>
      </c>
      <c r="AD14" s="2">
        <v>0.25</v>
      </c>
      <c r="AH14" s="9">
        <v>4</v>
      </c>
      <c r="AI14" s="13">
        <v>3.2</v>
      </c>
      <c r="AJ14" s="10"/>
      <c r="AK14" s="10"/>
      <c r="AL14" s="10"/>
      <c r="AM14" s="10"/>
      <c r="AN14" s="10"/>
    </row>
    <row r="15" spans="1:47" ht="16" hidden="1" customHeight="1" outlineLevel="1" x14ac:dyDescent="0.2">
      <c r="A15" s="43"/>
      <c r="B15" s="1" t="s">
        <v>55</v>
      </c>
      <c r="C15" s="37" t="s">
        <v>56</v>
      </c>
      <c r="D15" s="9">
        <f>D10*D14/8</f>
        <v>1024</v>
      </c>
      <c r="E15" s="31"/>
      <c r="F15" s="9">
        <f>F14*F10/8</f>
        <v>409.6</v>
      </c>
      <c r="G15" s="9">
        <f>G14*G10/8</f>
        <v>819.2</v>
      </c>
      <c r="H15" s="13">
        <f>H14*H10/8</f>
        <v>12.8</v>
      </c>
      <c r="I15" s="9">
        <f>I14*I10/8</f>
        <v>128</v>
      </c>
      <c r="J15" s="9">
        <f>J14*J10/8</f>
        <v>16</v>
      </c>
      <c r="K15" s="31"/>
      <c r="L15" s="9">
        <f>L14*L10/8</f>
        <v>614.4</v>
      </c>
      <c r="M15" s="9">
        <f>M14*M10/8</f>
        <v>614.4</v>
      </c>
      <c r="N15" s="9">
        <f>N14*N10/8</f>
        <v>128</v>
      </c>
      <c r="O15" s="9">
        <f>O14*O10/8</f>
        <v>128</v>
      </c>
      <c r="P15" s="31"/>
      <c r="Q15" s="9">
        <f>Q14*Q10/8</f>
        <v>32</v>
      </c>
      <c r="R15" s="9">
        <f>R14*R10/8</f>
        <v>32</v>
      </c>
      <c r="S15" s="31"/>
      <c r="T15" s="9">
        <f>T14*T10/8</f>
        <v>64</v>
      </c>
      <c r="U15" s="9">
        <f>U14*U10/8</f>
        <v>64</v>
      </c>
      <c r="V15" s="31"/>
      <c r="W15" s="9">
        <f>W14*W10/8</f>
        <v>256</v>
      </c>
      <c r="X15" s="9">
        <f>X14*X10/8</f>
        <v>256</v>
      </c>
      <c r="Y15" s="9">
        <f>Y14*Y10/8</f>
        <v>192</v>
      </c>
      <c r="Z15" s="9">
        <f>Z14*Z10/8</f>
        <v>128</v>
      </c>
      <c r="AA15" s="31"/>
      <c r="AB15" s="9">
        <f>AB14*AB10/8</f>
        <v>128</v>
      </c>
      <c r="AC15" s="9">
        <f>AC14*AC10/8</f>
        <v>128</v>
      </c>
      <c r="AD15" s="9">
        <f>AD14*AD10/8</f>
        <v>128</v>
      </c>
      <c r="AE15" s="31"/>
      <c r="AF15" s="9"/>
      <c r="AH15" s="9"/>
      <c r="AI15" s="13"/>
      <c r="AJ15" s="10"/>
      <c r="AK15" s="10"/>
      <c r="AL15" s="10"/>
      <c r="AM15" s="10"/>
      <c r="AN15" s="10"/>
    </row>
    <row r="16" spans="1:47" ht="16" customHeight="1" collapsed="1" x14ac:dyDescent="0.2">
      <c r="A16" s="43"/>
      <c r="B16" s="1" t="s">
        <v>57</v>
      </c>
      <c r="C16" s="37" t="s">
        <v>58</v>
      </c>
      <c r="D16" s="9">
        <f>D15/D7*8</f>
        <v>2048</v>
      </c>
      <c r="E16" s="31"/>
      <c r="F16" s="9">
        <f>F15/(F7/8)</f>
        <v>204.8</v>
      </c>
      <c r="G16" s="9">
        <f>G15/(G7/8)</f>
        <v>409.6</v>
      </c>
      <c r="H16" s="13">
        <f>H15/(H7/8)</f>
        <v>6.4</v>
      </c>
      <c r="I16" s="9">
        <f>I15/(I7/8)</f>
        <v>512</v>
      </c>
      <c r="J16" s="9">
        <f>J15/(J7/8)</f>
        <v>128</v>
      </c>
      <c r="K16" s="31"/>
      <c r="L16" s="9">
        <f>L15/L7*8</f>
        <v>2457.6</v>
      </c>
      <c r="M16" s="9">
        <f>M15/M7*8</f>
        <v>2457.6</v>
      </c>
      <c r="N16" s="9">
        <f>N15/N7*8</f>
        <v>512</v>
      </c>
      <c r="O16" s="9">
        <f>O15/O7*8</f>
        <v>512</v>
      </c>
      <c r="P16" s="31"/>
      <c r="Q16" s="9">
        <f>Q15/Q7*8</f>
        <v>128</v>
      </c>
      <c r="R16" s="9">
        <f>R15/R7*8</f>
        <v>128</v>
      </c>
      <c r="S16" s="31"/>
      <c r="T16" s="9">
        <f>T15/T7*8</f>
        <v>128</v>
      </c>
      <c r="U16" s="9">
        <f>U15/U7*8</f>
        <v>128</v>
      </c>
      <c r="V16" s="31"/>
      <c r="W16" s="9">
        <f>W15/W7*8</f>
        <v>1024</v>
      </c>
      <c r="X16" s="9">
        <f>X15/X7*8</f>
        <v>1024</v>
      </c>
      <c r="Y16" s="9">
        <f>Y15/Y7*8</f>
        <v>768</v>
      </c>
      <c r="Z16" s="9">
        <f>Z15/Z7*8</f>
        <v>512</v>
      </c>
      <c r="AA16" s="31"/>
      <c r="AB16" s="9">
        <f>AB15/AB7*8</f>
        <v>512</v>
      </c>
      <c r="AC16" s="9">
        <f>AC15/AC7*8</f>
        <v>512</v>
      </c>
      <c r="AD16" s="9">
        <f>AD15/AD7*8</f>
        <v>1024</v>
      </c>
      <c r="AE16" s="31"/>
      <c r="AF16" s="9"/>
      <c r="AH16" s="9"/>
      <c r="AI16" s="13"/>
      <c r="AJ16" s="10"/>
      <c r="AK16" s="10"/>
      <c r="AL16" s="10"/>
      <c r="AM16" s="10"/>
      <c r="AN16" s="10"/>
    </row>
    <row r="17" spans="1:46" ht="19" hidden="1" customHeight="1" outlineLevel="1" x14ac:dyDescent="0.2">
      <c r="A17" s="43"/>
      <c r="B17" s="1" t="s">
        <v>59</v>
      </c>
      <c r="C17" s="37" t="s">
        <v>60</v>
      </c>
      <c r="D17" s="2">
        <f>D15/D8</f>
        <v>7.3142857142857141</v>
      </c>
      <c r="E17" s="31"/>
      <c r="F17" s="2">
        <f>F15/F8</f>
        <v>3.9319999999999999</v>
      </c>
      <c r="G17" s="2">
        <f>G15/G8</f>
        <v>7.120000000000001</v>
      </c>
      <c r="H17" s="2">
        <f>H15/H8</f>
        <v>0.21081249999999999</v>
      </c>
      <c r="I17" s="2">
        <f>I15/I8</f>
        <v>7.9651524579962665</v>
      </c>
      <c r="J17" s="2">
        <f>J15/J8</f>
        <v>2.3962500000000002</v>
      </c>
      <c r="K17" s="31"/>
      <c r="L17" s="2">
        <f>L15/L8</f>
        <v>16.340425531914892</v>
      </c>
      <c r="M17" s="2">
        <f>M15/M8</f>
        <v>19.080745341614904</v>
      </c>
      <c r="N17" s="2">
        <f>N15/N8</f>
        <v>5.2892561983471076</v>
      </c>
      <c r="O17" s="2">
        <f>O15/O8</f>
        <v>5.2892561983471076</v>
      </c>
      <c r="P17" s="31"/>
      <c r="Q17" s="2">
        <f>Q15/Q8</f>
        <v>1.3361169102296451</v>
      </c>
      <c r="R17" s="2">
        <f>R15/R8</f>
        <v>2.0189274447949526</v>
      </c>
      <c r="S17" s="31"/>
      <c r="T17" s="2">
        <f>T15/T8</f>
        <v>1.4811386253182133</v>
      </c>
      <c r="U17" s="2">
        <f>U15/U8</f>
        <v>2.3079697078975836</v>
      </c>
      <c r="V17" s="31"/>
      <c r="W17" s="2">
        <f>W15/W8</f>
        <v>9.7227497151538174</v>
      </c>
      <c r="X17" s="2">
        <f>X15/X8</f>
        <v>7.9306071871127628</v>
      </c>
      <c r="Y17" s="2">
        <f>Y15/Y8</f>
        <v>7.084870848708487</v>
      </c>
      <c r="Z17" s="2">
        <f>Z15/Z8</f>
        <v>5.6412516527104444</v>
      </c>
      <c r="AA17" s="31"/>
      <c r="AB17" s="2">
        <f>AB15/AB8</f>
        <v>7.9651524579962665</v>
      </c>
      <c r="AC17" s="2">
        <f>AC15/AC8</f>
        <v>5.3781512605042012</v>
      </c>
      <c r="AD17" s="2">
        <f>AD15/AD8</f>
        <v>12.929292929292929</v>
      </c>
      <c r="AE17" s="31"/>
      <c r="AF17" s="9"/>
      <c r="AH17" s="9"/>
      <c r="AI17" s="13"/>
      <c r="AJ17" s="10"/>
      <c r="AK17" s="10"/>
      <c r="AL17" s="10"/>
      <c r="AM17" s="10"/>
      <c r="AN17" s="10"/>
    </row>
    <row r="18" spans="1:46" ht="19" hidden="1" customHeight="1" outlineLevel="1" x14ac:dyDescent="0.2">
      <c r="A18" s="43"/>
      <c r="B18" s="1" t="s">
        <v>61</v>
      </c>
      <c r="C18" s="37" t="s">
        <v>62</v>
      </c>
      <c r="D18" s="9"/>
      <c r="E18" s="31"/>
      <c r="F18" s="9">
        <f>SQRT(F8/(F10+F13+40))*10^3</f>
        <v>309.42740256087239</v>
      </c>
      <c r="G18" s="9">
        <f>SQRT(G8/(G10+G13+40))*10^3</f>
        <v>325.04316274132896</v>
      </c>
      <c r="H18" s="9">
        <f>SQRT(H8/(H10+H13+40))*10^3</f>
        <v>855.29859648808224</v>
      </c>
      <c r="I18" s="9">
        <f>SQRT(I8/(I10+I13+40))*10^3</f>
        <v>62.167828213947317</v>
      </c>
      <c r="J18" s="9">
        <f>SQRT(J8/(J10+J13+40))*10^3</f>
        <v>107.85442856487602</v>
      </c>
      <c r="K18" s="31"/>
      <c r="L18" s="9">
        <f>SQRT(L8/(L10+L13+40))*10^3</f>
        <v>67.493459644190295</v>
      </c>
      <c r="M18" s="9">
        <f>SQRT(M8/(M10+M13+40))*10^3</f>
        <v>62.459097349975252</v>
      </c>
      <c r="N18" s="9">
        <f>SQRT(N8/(N10+N13+40))*10^3</f>
        <v>107.0689555874724</v>
      </c>
      <c r="O18" s="9">
        <f>SQRT(O8/(O10+O13+40))*10^3</f>
        <v>107.0689555874724</v>
      </c>
      <c r="P18" s="31"/>
      <c r="Q18" s="9">
        <f>SQRT(Q8/(Q10+Q13+40))*10^3</f>
        <v>351.3596565450033</v>
      </c>
      <c r="R18" s="9">
        <f>SQRT(R8/(R10+R13+40))*10^3</f>
        <v>285.83392193341058</v>
      </c>
      <c r="S18" s="31"/>
      <c r="T18" s="9">
        <f>SQRT(T8/(T10+T13+40))*10^3</f>
        <v>366.89316142483705</v>
      </c>
      <c r="U18" s="9">
        <f>SQRT(U8/(U10+U13+40))*10^3</f>
        <v>293.91545184779068</v>
      </c>
      <c r="V18" s="31"/>
      <c r="W18" s="9">
        <f>SQRT(W8/(W10+W13+40))*10^3</f>
        <v>155.56467351895427</v>
      </c>
      <c r="X18" s="9">
        <f>SQRT(X8/(X10+X13+40))*10^3</f>
        <v>172.1681540768702</v>
      </c>
      <c r="Y18" s="9">
        <f>SQRT(Y8/(Y10+Y13+40))*10^3</f>
        <v>216.71887563660064</v>
      </c>
      <c r="Z18" s="9">
        <f>SQRT(Z8/(Z10+Z13+40))*10^3</f>
        <v>198.3030260014132</v>
      </c>
      <c r="AA18" s="31"/>
      <c r="AB18" s="9">
        <f>SQRT(AB8/(AB10+AB13+40))*10^3</f>
        <v>62.167828213947317</v>
      </c>
      <c r="AC18" s="9">
        <f>SQRT(AC8/(AC10+AC13+40))*10^3</f>
        <v>75.656498226561638</v>
      </c>
      <c r="AD18" s="9">
        <f>SQRT(AD8/(AD10+AD13+40))*10^3</f>
        <v>48.795003647426661</v>
      </c>
      <c r="AE18" s="31"/>
      <c r="AF18" s="9"/>
      <c r="AH18" s="9"/>
      <c r="AI18" s="13"/>
      <c r="AJ18" s="10"/>
      <c r="AK18" s="10"/>
      <c r="AL18" s="10"/>
      <c r="AM18" s="10"/>
      <c r="AN18" s="10"/>
    </row>
    <row r="19" spans="1:46" collapsed="1" x14ac:dyDescent="0.2">
      <c r="A19" s="43"/>
      <c r="B19" s="35" t="s">
        <v>63</v>
      </c>
      <c r="C19" s="37" t="s">
        <v>64</v>
      </c>
      <c r="D19" s="2" t="s">
        <v>65</v>
      </c>
      <c r="F19" s="2">
        <v>15.5</v>
      </c>
      <c r="H19" s="2">
        <v>15</v>
      </c>
      <c r="I19" s="2">
        <v>5</v>
      </c>
      <c r="J19" s="2">
        <v>10</v>
      </c>
      <c r="L19" s="2">
        <v>13</v>
      </c>
      <c r="M19" s="2">
        <v>13</v>
      </c>
      <c r="N19" s="2">
        <v>13</v>
      </c>
      <c r="O19" s="2">
        <v>13</v>
      </c>
      <c r="AH19" s="9">
        <v>4</v>
      </c>
      <c r="AI19" s="9">
        <v>47</v>
      </c>
      <c r="AJ19" s="10"/>
      <c r="AK19" s="10"/>
      <c r="AL19" s="10"/>
      <c r="AM19" s="10"/>
      <c r="AN19" s="10"/>
    </row>
    <row r="20" spans="1:46" x14ac:dyDescent="0.2">
      <c r="A20" s="43"/>
      <c r="B20" s="35" t="s">
        <v>66</v>
      </c>
      <c r="C20" s="37" t="s">
        <v>64</v>
      </c>
      <c r="F20" s="2">
        <v>28</v>
      </c>
      <c r="H20" s="2">
        <v>25</v>
      </c>
      <c r="I20" s="2">
        <v>15</v>
      </c>
      <c r="J20" s="2">
        <v>15</v>
      </c>
      <c r="L20" s="2">
        <v>8</v>
      </c>
      <c r="M20" s="2">
        <v>8</v>
      </c>
      <c r="N20" s="2">
        <v>8</v>
      </c>
      <c r="O20" s="2">
        <v>8</v>
      </c>
      <c r="AH20" s="9"/>
      <c r="AI20" s="9"/>
      <c r="AJ20" s="10"/>
      <c r="AK20" s="10"/>
      <c r="AL20" s="10"/>
      <c r="AM20" s="10"/>
      <c r="AN20" s="10"/>
    </row>
    <row r="21" spans="1:46" x14ac:dyDescent="0.2">
      <c r="A21" s="43"/>
      <c r="B21" s="35" t="s">
        <v>67</v>
      </c>
      <c r="C21" s="37" t="s">
        <v>64</v>
      </c>
      <c r="D21" s="2">
        <v>6.5</v>
      </c>
      <c r="F21" s="2">
        <v>2.5</v>
      </c>
      <c r="G21" s="2">
        <v>1.25</v>
      </c>
      <c r="H21" s="2">
        <v>2.5</v>
      </c>
      <c r="I21" s="2">
        <v>4</v>
      </c>
      <c r="J21" s="2">
        <v>4</v>
      </c>
      <c r="Q21" s="2">
        <v>4</v>
      </c>
      <c r="R21" s="2">
        <v>4</v>
      </c>
      <c r="T21" s="2">
        <v>4</v>
      </c>
      <c r="U21" s="2">
        <v>4</v>
      </c>
      <c r="W21" s="2">
        <v>4</v>
      </c>
      <c r="X21" s="2">
        <v>4</v>
      </c>
      <c r="Y21" s="2">
        <v>4</v>
      </c>
      <c r="Z21" s="2">
        <v>4</v>
      </c>
      <c r="AB21" s="2">
        <v>4</v>
      </c>
      <c r="AC21" s="2">
        <v>4</v>
      </c>
      <c r="AD21" s="2">
        <v>4</v>
      </c>
      <c r="AH21" s="9"/>
      <c r="AI21" s="9">
        <v>2</v>
      </c>
      <c r="AJ21" s="10"/>
      <c r="AK21" s="10"/>
      <c r="AL21" s="10"/>
      <c r="AM21" s="10"/>
      <c r="AN21" s="10"/>
    </row>
    <row r="22" spans="1:46" ht="16" hidden="1" customHeight="1" outlineLevel="1" x14ac:dyDescent="0.2">
      <c r="A22" s="43"/>
      <c r="AH22" s="4"/>
      <c r="AI22" s="10"/>
      <c r="AJ22" s="10"/>
      <c r="AK22" s="10"/>
      <c r="AL22" s="10"/>
      <c r="AM22" s="10"/>
      <c r="AN22" s="10"/>
    </row>
    <row r="23" spans="1:46" s="28" customFormat="1" ht="6" customHeight="1" collapsed="1" x14ac:dyDescent="0.2">
      <c r="A23" s="39"/>
      <c r="B23" s="24"/>
      <c r="C23" s="2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5"/>
      <c r="AI23" s="27"/>
      <c r="AJ23" s="27"/>
      <c r="AK23" s="27"/>
      <c r="AL23" s="27"/>
      <c r="AM23" s="27"/>
      <c r="AN23" s="27"/>
      <c r="AP23" s="29"/>
      <c r="AQ23" s="29"/>
      <c r="AR23" s="29"/>
      <c r="AS23" s="29"/>
      <c r="AT23" s="29"/>
    </row>
    <row r="24" spans="1:46" ht="16" customHeight="1" x14ac:dyDescent="0.2">
      <c r="A24" s="43" t="s">
        <v>68</v>
      </c>
      <c r="B24" s="1" t="s">
        <v>190</v>
      </c>
      <c r="C24" s="37" t="s">
        <v>191</v>
      </c>
      <c r="D24" s="9">
        <f>D7/D11*1024</f>
        <v>512</v>
      </c>
      <c r="E24" s="31"/>
      <c r="F24" s="9">
        <f>F7/F11*1024</f>
        <v>2048</v>
      </c>
      <c r="G24" s="9">
        <f>G7/G11*1024</f>
        <v>1024</v>
      </c>
      <c r="H24" s="9">
        <f>H7/H11*1024</f>
        <v>16384</v>
      </c>
      <c r="I24" s="9">
        <f>I7/I11*1024</f>
        <v>256</v>
      </c>
      <c r="J24" s="9">
        <f>J7/J11*1024</f>
        <v>1024</v>
      </c>
      <c r="K24" s="31"/>
      <c r="L24" s="9">
        <f>L7/L11*1024</f>
        <v>128</v>
      </c>
      <c r="M24" s="9">
        <f>M7/M11*1024</f>
        <v>128</v>
      </c>
      <c r="N24" s="9">
        <f>N7/N11*1024</f>
        <v>256</v>
      </c>
      <c r="O24" s="9">
        <f>O7/O11*1024</f>
        <v>256</v>
      </c>
      <c r="P24" s="31"/>
      <c r="Q24" s="9">
        <f>Q7/Q11*1024</f>
        <v>512</v>
      </c>
      <c r="R24" s="9">
        <f>R7/R11*1024</f>
        <v>512</v>
      </c>
      <c r="S24" s="31"/>
      <c r="T24" s="9">
        <f>T7/T11*1024</f>
        <v>1024</v>
      </c>
      <c r="U24" s="9">
        <f>U7/U11*1024</f>
        <v>1024</v>
      </c>
      <c r="V24" s="31"/>
      <c r="W24" s="9">
        <f>W7/W11*1024</f>
        <v>256</v>
      </c>
      <c r="X24" s="9">
        <f>X7/X11*1024</f>
        <v>128</v>
      </c>
      <c r="Y24" s="9">
        <f>Y7/Y11*1024</f>
        <v>256</v>
      </c>
      <c r="Z24" s="9">
        <f>Z7/Z11*1024</f>
        <v>256</v>
      </c>
      <c r="AA24" s="31"/>
      <c r="AB24" s="9">
        <f>AB7/AB11*1024</f>
        <v>256</v>
      </c>
      <c r="AC24" s="9">
        <f>AC7/AC11*1024</f>
        <v>256</v>
      </c>
      <c r="AD24" s="9">
        <f>AD7/AD11*1024</f>
        <v>128</v>
      </c>
      <c r="AE24" s="31"/>
      <c r="AF24" s="9"/>
      <c r="AH24" s="9"/>
      <c r="AI24" s="13"/>
      <c r="AJ24" s="10"/>
      <c r="AK24" s="10"/>
      <c r="AL24" s="10"/>
      <c r="AM24" s="10"/>
      <c r="AN24" s="10"/>
    </row>
    <row r="25" spans="1:46" ht="16" customHeight="1" x14ac:dyDescent="0.2">
      <c r="A25" s="43"/>
      <c r="B25" s="35" t="s">
        <v>71</v>
      </c>
      <c r="C25" s="37" t="s">
        <v>51</v>
      </c>
      <c r="D25" s="9">
        <v>512</v>
      </c>
      <c r="E25" s="31"/>
      <c r="F25" s="9">
        <v>128</v>
      </c>
      <c r="G25" s="9">
        <v>64</v>
      </c>
      <c r="H25" s="44">
        <v>16</v>
      </c>
      <c r="I25" s="9">
        <v>512</v>
      </c>
      <c r="J25" s="9">
        <v>512</v>
      </c>
      <c r="K25" s="31"/>
      <c r="L25" s="9">
        <v>512</v>
      </c>
      <c r="M25" s="9">
        <v>512</v>
      </c>
      <c r="N25" s="9">
        <v>256</v>
      </c>
      <c r="O25" s="9">
        <v>256</v>
      </c>
      <c r="P25" s="31"/>
      <c r="Q25" s="9">
        <v>32</v>
      </c>
      <c r="R25" s="9">
        <v>32</v>
      </c>
      <c r="S25" s="31"/>
      <c r="T25" s="9">
        <v>64</v>
      </c>
      <c r="U25" s="9">
        <v>64</v>
      </c>
      <c r="V25" s="31"/>
      <c r="W25" s="9">
        <v>128</v>
      </c>
      <c r="X25" s="9">
        <v>64</v>
      </c>
      <c r="Y25" s="9">
        <v>64</v>
      </c>
      <c r="Z25" s="9">
        <v>64</v>
      </c>
      <c r="AA25" s="31"/>
      <c r="AB25" s="9">
        <v>512</v>
      </c>
      <c r="AC25" s="9">
        <v>512</v>
      </c>
      <c r="AD25" s="9">
        <v>512</v>
      </c>
      <c r="AE25" s="31"/>
      <c r="AF25" s="9"/>
      <c r="AH25" s="37">
        <v>128</v>
      </c>
      <c r="AI25" s="37">
        <v>16</v>
      </c>
      <c r="AK25" s="37">
        <v>16</v>
      </c>
      <c r="AL25" s="37">
        <v>16</v>
      </c>
      <c r="AM25" s="37">
        <v>16</v>
      </c>
      <c r="AN25" s="37"/>
    </row>
    <row r="26" spans="1:46" ht="16" customHeight="1" x14ac:dyDescent="0.2">
      <c r="A26" s="43"/>
      <c r="B26" s="35" t="s">
        <v>74</v>
      </c>
      <c r="C26" s="37" t="s">
        <v>75</v>
      </c>
      <c r="D26" s="9">
        <v>64</v>
      </c>
      <c r="E26" s="31"/>
      <c r="F26" s="9">
        <v>32</v>
      </c>
      <c r="G26" s="9">
        <v>32</v>
      </c>
      <c r="H26" s="9">
        <v>16</v>
      </c>
      <c r="I26" s="9">
        <v>8</v>
      </c>
      <c r="J26" s="9">
        <v>8</v>
      </c>
      <c r="K26" s="31"/>
      <c r="L26" s="9">
        <v>1</v>
      </c>
      <c r="M26" s="9">
        <v>1</v>
      </c>
      <c r="N26" s="9">
        <v>1</v>
      </c>
      <c r="O26" s="9">
        <v>1</v>
      </c>
      <c r="P26" s="31"/>
      <c r="Q26" s="9">
        <v>16</v>
      </c>
      <c r="R26" s="9">
        <v>16</v>
      </c>
      <c r="S26" s="31"/>
      <c r="T26" s="9">
        <v>16</v>
      </c>
      <c r="U26" s="9">
        <v>16</v>
      </c>
      <c r="V26" s="31"/>
      <c r="W26" s="9">
        <v>16</v>
      </c>
      <c r="X26" s="9">
        <v>16</v>
      </c>
      <c r="Y26" s="9">
        <v>32</v>
      </c>
      <c r="Z26" s="9">
        <v>16</v>
      </c>
      <c r="AA26" s="31"/>
      <c r="AB26" s="9">
        <v>8</v>
      </c>
      <c r="AC26" s="9">
        <v>8</v>
      </c>
      <c r="AD26" s="9">
        <v>8</v>
      </c>
      <c r="AE26" s="31"/>
      <c r="AF26" s="9"/>
      <c r="AM26" s="37"/>
      <c r="AN26" s="37"/>
    </row>
    <row r="27" spans="1:46" x14ac:dyDescent="0.2">
      <c r="A27" s="43"/>
      <c r="B27" s="1" t="s">
        <v>72</v>
      </c>
      <c r="C27" s="37" t="s">
        <v>73</v>
      </c>
      <c r="D27" s="9">
        <f>D14*D25/8</f>
        <v>128</v>
      </c>
      <c r="E27" s="31"/>
      <c r="F27" s="13">
        <f>F14*F25/8</f>
        <v>51.2</v>
      </c>
      <c r="G27" s="13">
        <f>G14*G25/8</f>
        <v>51.2</v>
      </c>
      <c r="H27" s="13">
        <f>H14*H25/8</f>
        <v>12.8</v>
      </c>
      <c r="I27" s="9">
        <f>I14*I25/8</f>
        <v>16</v>
      </c>
      <c r="J27" s="9">
        <f>J14*J25/8</f>
        <v>16</v>
      </c>
      <c r="K27" s="31"/>
      <c r="L27" s="9">
        <f>L14*L25/8</f>
        <v>38.4</v>
      </c>
      <c r="M27" s="9">
        <f>M14*M25/8</f>
        <v>38.4</v>
      </c>
      <c r="N27" s="9">
        <f>N15/N11</f>
        <v>16</v>
      </c>
      <c r="O27" s="9">
        <f>O14*O25/8</f>
        <v>16</v>
      </c>
      <c r="P27" s="31"/>
      <c r="Q27" s="9">
        <f>Q14*Q25/8</f>
        <v>8</v>
      </c>
      <c r="R27" s="9">
        <f>R14*R25/8</f>
        <v>8</v>
      </c>
      <c r="S27" s="31"/>
      <c r="T27" s="9">
        <f>T14*T25/8</f>
        <v>16</v>
      </c>
      <c r="U27" s="9">
        <f>U14*U25/8</f>
        <v>16</v>
      </c>
      <c r="V27" s="31"/>
      <c r="W27" s="9">
        <f>W14*W25/8</f>
        <v>32</v>
      </c>
      <c r="X27" s="9">
        <f>X14*X25/8</f>
        <v>16</v>
      </c>
      <c r="Y27" s="9">
        <f>Y14*Y25/8</f>
        <v>24</v>
      </c>
      <c r="Z27" s="9">
        <f>Z14*Z25/8</f>
        <v>16</v>
      </c>
      <c r="AA27" s="31"/>
      <c r="AB27" s="9">
        <f>AB14*AB25/8</f>
        <v>16</v>
      </c>
      <c r="AC27" s="9">
        <f>AC14*AC25/8</f>
        <v>16</v>
      </c>
      <c r="AD27" s="9">
        <f>AD14*AD25/8</f>
        <v>16</v>
      </c>
      <c r="AE27" s="31"/>
      <c r="AF27" s="9"/>
      <c r="AH27" s="9"/>
      <c r="AI27" s="13"/>
      <c r="AJ27" s="10"/>
      <c r="AK27" s="10"/>
      <c r="AL27" s="10"/>
      <c r="AM27" s="10"/>
      <c r="AN27" s="10"/>
    </row>
    <row r="28" spans="1:46" hidden="1" outlineLevel="1" x14ac:dyDescent="0.2">
      <c r="A28" s="43"/>
      <c r="B28" s="35" t="s">
        <v>198</v>
      </c>
      <c r="E28" s="31"/>
      <c r="F28" s="9">
        <f>F37/F25</f>
        <v>64</v>
      </c>
      <c r="G28" s="9">
        <f>G37/G25</f>
        <v>128</v>
      </c>
      <c r="H28" s="9">
        <f>H37/H25</f>
        <v>1024</v>
      </c>
      <c r="I28" s="9">
        <f>I37/I25</f>
        <v>8</v>
      </c>
      <c r="J28" s="9">
        <f>J37/J25</f>
        <v>16</v>
      </c>
      <c r="K28" s="31"/>
      <c r="L28" s="9">
        <v>16</v>
      </c>
      <c r="M28" s="9">
        <v>16</v>
      </c>
      <c r="N28" s="9">
        <v>16</v>
      </c>
      <c r="O28" s="9">
        <v>16</v>
      </c>
      <c r="P28" s="31"/>
      <c r="Q28" s="9">
        <f>Q37/Q32</f>
        <v>128</v>
      </c>
      <c r="R28" s="9">
        <f>R37/R32</f>
        <v>128</v>
      </c>
      <c r="S28" s="31"/>
      <c r="T28" s="9">
        <f>T37/T32</f>
        <v>64</v>
      </c>
      <c r="U28" s="9">
        <f>U37/U32</f>
        <v>64</v>
      </c>
      <c r="V28" s="31"/>
      <c r="W28" s="9">
        <f>W37/W32</f>
        <v>16</v>
      </c>
      <c r="X28" s="9">
        <f>X37/X32</f>
        <v>32</v>
      </c>
      <c r="Y28" s="9">
        <f>Y37/Y32</f>
        <v>32</v>
      </c>
      <c r="Z28" s="9">
        <f>Z37/Z32</f>
        <v>32</v>
      </c>
      <c r="AA28" s="31"/>
      <c r="AB28" s="9">
        <f>AB37/AB32</f>
        <v>16</v>
      </c>
      <c r="AC28" s="9">
        <f>AC37/AC32</f>
        <v>16</v>
      </c>
      <c r="AD28" s="9">
        <f>AD37/AD32</f>
        <v>16</v>
      </c>
      <c r="AE28" s="31"/>
      <c r="AF28" s="9"/>
      <c r="AH28" s="9"/>
      <c r="AI28" s="13"/>
      <c r="AJ28" s="10"/>
      <c r="AK28" s="10"/>
      <c r="AL28" s="10"/>
      <c r="AM28" s="10"/>
      <c r="AN28" s="10"/>
    </row>
    <row r="29" spans="1:46" hidden="1" outlineLevel="1" x14ac:dyDescent="0.2">
      <c r="A29" s="43"/>
      <c r="E29" s="31"/>
      <c r="F29" s="9"/>
      <c r="G29" s="9"/>
      <c r="H29" s="9"/>
      <c r="I29" s="9"/>
      <c r="J29" s="9"/>
      <c r="K29" s="31"/>
      <c r="L29" s="9"/>
      <c r="M29" s="9"/>
      <c r="N29" s="9"/>
      <c r="O29" s="9"/>
      <c r="P29" s="31"/>
      <c r="Q29" s="9"/>
      <c r="R29" s="9"/>
      <c r="S29" s="31"/>
      <c r="T29" s="9"/>
      <c r="U29" s="9"/>
      <c r="V29" s="31"/>
      <c r="W29" s="9"/>
      <c r="X29" s="9"/>
      <c r="Y29" s="9"/>
      <c r="Z29" s="9"/>
      <c r="AA29" s="31"/>
      <c r="AB29" s="9"/>
      <c r="AC29" s="9"/>
      <c r="AD29" s="9"/>
      <c r="AE29" s="31"/>
      <c r="AF29" s="9"/>
      <c r="AH29" s="9"/>
      <c r="AI29" s="13"/>
      <c r="AJ29" s="10"/>
      <c r="AK29" s="10"/>
      <c r="AL29" s="10"/>
      <c r="AM29" s="10"/>
      <c r="AN29" s="10"/>
    </row>
    <row r="30" spans="1:46" s="28" customFormat="1" ht="6" customHeight="1" collapsed="1" x14ac:dyDescent="0.2">
      <c r="A30" s="39"/>
      <c r="B30" s="24"/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5"/>
      <c r="AI30" s="27"/>
      <c r="AJ30" s="27"/>
      <c r="AK30" s="27"/>
      <c r="AL30" s="27"/>
      <c r="AM30" s="27"/>
      <c r="AN30" s="27"/>
      <c r="AP30" s="29"/>
      <c r="AQ30" s="29"/>
      <c r="AR30" s="29"/>
      <c r="AS30" s="29"/>
      <c r="AT30" s="29"/>
    </row>
    <row r="31" spans="1:46" ht="16" customHeight="1" x14ac:dyDescent="0.2">
      <c r="A31" s="43" t="s">
        <v>192</v>
      </c>
      <c r="B31" s="1" t="s">
        <v>78</v>
      </c>
      <c r="C31" s="37" t="s">
        <v>79</v>
      </c>
      <c r="D31" s="9">
        <f>D7/D12*1024</f>
        <v>8</v>
      </c>
      <c r="E31" s="31"/>
      <c r="F31" s="9">
        <f>F7/F12*1024</f>
        <v>64</v>
      </c>
      <c r="G31" s="9">
        <f>G7/G12*1024</f>
        <v>32</v>
      </c>
      <c r="H31" s="9">
        <f>H7/H12*1024</f>
        <v>1024</v>
      </c>
      <c r="I31" s="9">
        <f>I7/I12*1024</f>
        <v>32</v>
      </c>
      <c r="J31" s="9">
        <f>J7/J12*1024</f>
        <v>128</v>
      </c>
      <c r="K31" s="31"/>
      <c r="L31" s="9">
        <f>L7/L12*1024</f>
        <v>128</v>
      </c>
      <c r="M31" s="9">
        <f>M7/M12*1024</f>
        <v>128</v>
      </c>
      <c r="N31" s="9">
        <f>N7/N12*1024</f>
        <v>256</v>
      </c>
      <c r="O31" s="9">
        <f>O7/O12*1024</f>
        <v>256</v>
      </c>
      <c r="P31" s="31"/>
      <c r="Q31" s="9">
        <f>Q7/Q12*1024</f>
        <v>32</v>
      </c>
      <c r="R31" s="9">
        <f>R7/R12*1024</f>
        <v>32</v>
      </c>
      <c r="S31" s="31"/>
      <c r="T31" s="9">
        <f>T7/T12*1024</f>
        <v>64</v>
      </c>
      <c r="U31" s="9">
        <f>U7/U12*1024</f>
        <v>64</v>
      </c>
      <c r="V31" s="31"/>
      <c r="W31" s="9">
        <f>W7/W12*1024</f>
        <v>16</v>
      </c>
      <c r="X31" s="9">
        <f>X7/X12*1024</f>
        <v>8</v>
      </c>
      <c r="Y31" s="9">
        <f>Y7/Y12*1024</f>
        <v>8</v>
      </c>
      <c r="Z31" s="9">
        <f>Z7/Z12*1024</f>
        <v>16</v>
      </c>
      <c r="AA31" s="31"/>
      <c r="AB31" s="9">
        <f>AB7/AB12*1024</f>
        <v>32</v>
      </c>
      <c r="AC31" s="9">
        <f>AC7/AC12*1024</f>
        <v>32</v>
      </c>
      <c r="AD31" s="9">
        <f>AD7/AD12*1024</f>
        <v>16</v>
      </c>
      <c r="AE31" s="31"/>
      <c r="AF31" s="9"/>
      <c r="AH31" s="37">
        <f>AH7*1024/AH25</f>
        <v>8</v>
      </c>
      <c r="AI31" s="37">
        <f>AI7*1024/AI25</f>
        <v>512</v>
      </c>
      <c r="AK31" s="37">
        <f>AK7*1024/AK25</f>
        <v>512</v>
      </c>
      <c r="AL31" s="37">
        <f>AL7*1024/AL25</f>
        <v>512</v>
      </c>
      <c r="AM31" s="37">
        <f>AM7*1024/AM25</f>
        <v>512</v>
      </c>
      <c r="AN31" s="37"/>
    </row>
    <row r="32" spans="1:46" hidden="1" outlineLevel="1" x14ac:dyDescent="0.2">
      <c r="A32" s="43"/>
      <c r="B32" s="1" t="s">
        <v>80</v>
      </c>
      <c r="C32" s="37" t="s">
        <v>81</v>
      </c>
      <c r="D32" s="9">
        <f>D25</f>
        <v>512</v>
      </c>
      <c r="E32" s="31"/>
      <c r="F32" s="9">
        <f>F25</f>
        <v>128</v>
      </c>
      <c r="G32" s="9">
        <f>G25</f>
        <v>64</v>
      </c>
      <c r="H32" s="9">
        <v>16</v>
      </c>
      <c r="I32" s="9">
        <f>I25</f>
        <v>512</v>
      </c>
      <c r="J32" s="9">
        <f>J25</f>
        <v>512</v>
      </c>
      <c r="K32" s="31"/>
      <c r="L32" s="9">
        <f>L25</f>
        <v>512</v>
      </c>
      <c r="M32" s="9">
        <f>M25</f>
        <v>512</v>
      </c>
      <c r="N32" s="9">
        <f>N25</f>
        <v>256</v>
      </c>
      <c r="O32" s="9">
        <f>O25</f>
        <v>256</v>
      </c>
      <c r="P32" s="31"/>
      <c r="Q32" s="9">
        <f>Q25</f>
        <v>32</v>
      </c>
      <c r="R32" s="9">
        <f>R25</f>
        <v>32</v>
      </c>
      <c r="S32" s="31"/>
      <c r="T32" s="9">
        <f>T25</f>
        <v>64</v>
      </c>
      <c r="U32" s="9">
        <f>U25</f>
        <v>64</v>
      </c>
      <c r="V32" s="31"/>
      <c r="W32" s="9">
        <f>W25</f>
        <v>128</v>
      </c>
      <c r="X32" s="9">
        <f>X25</f>
        <v>64</v>
      </c>
      <c r="Y32" s="9">
        <f>Y25</f>
        <v>64</v>
      </c>
      <c r="Z32" s="9">
        <f>Z25</f>
        <v>64</v>
      </c>
      <c r="AA32" s="31"/>
      <c r="AB32" s="9">
        <f>AB25</f>
        <v>512</v>
      </c>
      <c r="AC32" s="9">
        <f>AC25</f>
        <v>512</v>
      </c>
      <c r="AD32" s="9">
        <f>AD25</f>
        <v>512</v>
      </c>
      <c r="AE32" s="31"/>
      <c r="AF32" s="9"/>
      <c r="AH32" s="37">
        <v>128</v>
      </c>
      <c r="AI32" s="37">
        <v>32</v>
      </c>
      <c r="AK32" s="37">
        <v>32</v>
      </c>
      <c r="AL32" s="37">
        <v>32</v>
      </c>
      <c r="AM32" s="37">
        <v>32</v>
      </c>
      <c r="AN32" s="37"/>
    </row>
    <row r="33" spans="1:46" hidden="1" outlineLevel="1" x14ac:dyDescent="0.2">
      <c r="A33" s="43"/>
      <c r="B33" s="1" t="s">
        <v>82</v>
      </c>
      <c r="C33" s="37" t="s">
        <v>83</v>
      </c>
      <c r="D33" s="9"/>
      <c r="E33" s="31"/>
      <c r="F33" s="9">
        <f>F32*F28</f>
        <v>8192</v>
      </c>
      <c r="G33" s="9">
        <f>G32*G28</f>
        <v>8192</v>
      </c>
      <c r="H33" s="9">
        <f>H32*H28</f>
        <v>16384</v>
      </c>
      <c r="I33" s="9">
        <f>I32*I28</f>
        <v>4096</v>
      </c>
      <c r="J33" s="9">
        <f>J32*J28</f>
        <v>8192</v>
      </c>
      <c r="K33" s="31"/>
      <c r="L33" s="9">
        <f>L32*L28</f>
        <v>8192</v>
      </c>
      <c r="M33" s="9">
        <f>M32*M28</f>
        <v>8192</v>
      </c>
      <c r="N33" s="9">
        <f>N32*N28</f>
        <v>4096</v>
      </c>
      <c r="O33" s="9">
        <f>O32*O28</f>
        <v>4096</v>
      </c>
      <c r="P33" s="31"/>
      <c r="Q33" s="9">
        <f>Q32*Q28</f>
        <v>4096</v>
      </c>
      <c r="R33" s="9">
        <f>R32*R28</f>
        <v>4096</v>
      </c>
      <c r="S33" s="31"/>
      <c r="T33" s="9">
        <f>T32*T28</f>
        <v>4096</v>
      </c>
      <c r="U33" s="9">
        <f>U32*U28</f>
        <v>4096</v>
      </c>
      <c r="V33" s="31"/>
      <c r="W33" s="9">
        <f>W32*W28</f>
        <v>2048</v>
      </c>
      <c r="X33" s="9">
        <f>X32*X28</f>
        <v>2048</v>
      </c>
      <c r="Y33" s="9">
        <f>Y32*Y28</f>
        <v>2048</v>
      </c>
      <c r="Z33" s="9">
        <f>Z32*Z28</f>
        <v>2048</v>
      </c>
      <c r="AA33" s="31"/>
      <c r="AB33" s="9">
        <f>AB32*AB28</f>
        <v>8192</v>
      </c>
      <c r="AC33" s="9">
        <f>AC32*AC28</f>
        <v>8192</v>
      </c>
      <c r="AD33" s="9">
        <f>AD32*AD28</f>
        <v>8192</v>
      </c>
      <c r="AE33" s="31"/>
      <c r="AF33" s="9"/>
      <c r="AM33" s="37"/>
      <c r="AN33" s="37"/>
    </row>
    <row r="34" spans="1:46" ht="16" hidden="1" customHeight="1" outlineLevel="1" x14ac:dyDescent="0.2">
      <c r="A34" s="43"/>
      <c r="B34" s="1" t="s">
        <v>84</v>
      </c>
      <c r="C34" s="37" t="s">
        <v>85</v>
      </c>
      <c r="D34" s="9">
        <v>16</v>
      </c>
      <c r="E34" s="31"/>
      <c r="F34" s="9">
        <f>F35*F36</f>
        <v>64</v>
      </c>
      <c r="G34" s="9">
        <f>G35*G36</f>
        <v>32</v>
      </c>
      <c r="H34" s="9">
        <f>H35*H36</f>
        <v>1024</v>
      </c>
      <c r="I34" s="9">
        <f>I31/I40</f>
        <v>128</v>
      </c>
      <c r="J34" s="9">
        <f>J31/J40</f>
        <v>256</v>
      </c>
      <c r="K34" s="31"/>
      <c r="L34" s="9">
        <f>L35*L36</f>
        <v>256</v>
      </c>
      <c r="M34" s="9">
        <f>M35*M36</f>
        <v>256</v>
      </c>
      <c r="N34" s="9">
        <f>N35*N36</f>
        <v>512</v>
      </c>
      <c r="O34" s="9">
        <f>O35*O36</f>
        <v>512</v>
      </c>
      <c r="P34" s="31"/>
      <c r="Q34" s="9">
        <f>Q35*Q36</f>
        <v>64</v>
      </c>
      <c r="R34" s="9">
        <f>R35*R36</f>
        <v>64</v>
      </c>
      <c r="S34" s="31"/>
      <c r="T34" s="9">
        <f>T35*T36</f>
        <v>128</v>
      </c>
      <c r="U34" s="9">
        <f>U35*U36</f>
        <v>128</v>
      </c>
      <c r="V34" s="31"/>
      <c r="W34" s="9">
        <f>W35*W36</f>
        <v>32</v>
      </c>
      <c r="X34" s="9">
        <f>X35*X36</f>
        <v>16</v>
      </c>
      <c r="Y34" s="9">
        <f>Y35*Y36</f>
        <v>16</v>
      </c>
      <c r="Z34" s="9">
        <f>Z35*Z36</f>
        <v>32</v>
      </c>
      <c r="AA34" s="31"/>
      <c r="AB34" s="9">
        <f>AB31/AB40</f>
        <v>128</v>
      </c>
      <c r="AC34" s="9">
        <f>AC31/AC40</f>
        <v>512</v>
      </c>
      <c r="AD34" s="9">
        <f>AD31/AD40</f>
        <v>64</v>
      </c>
      <c r="AE34" s="31"/>
      <c r="AF34" s="9"/>
      <c r="AH34" s="37">
        <v>4</v>
      </c>
      <c r="AI34" s="37">
        <v>32</v>
      </c>
      <c r="AK34" s="37">
        <v>1</v>
      </c>
      <c r="AL34" s="37">
        <v>1</v>
      </c>
      <c r="AM34" s="37">
        <v>1</v>
      </c>
      <c r="AN34" s="37"/>
    </row>
    <row r="35" spans="1:46" collapsed="1" x14ac:dyDescent="0.2">
      <c r="A35" s="43"/>
      <c r="B35" s="35" t="s">
        <v>193</v>
      </c>
      <c r="C35" s="37" t="s">
        <v>81</v>
      </c>
      <c r="D35" s="9">
        <v>1</v>
      </c>
      <c r="E35" s="31"/>
      <c r="F35" s="9">
        <v>8</v>
      </c>
      <c r="G35" s="9">
        <v>8</v>
      </c>
      <c r="H35" s="9">
        <v>16</v>
      </c>
      <c r="I35" s="9">
        <v>8</v>
      </c>
      <c r="J35" s="9">
        <v>8</v>
      </c>
      <c r="K35" s="31"/>
      <c r="L35" s="9">
        <v>16</v>
      </c>
      <c r="M35" s="9">
        <v>16</v>
      </c>
      <c r="N35" s="9">
        <v>16</v>
      </c>
      <c r="O35" s="9">
        <v>16</v>
      </c>
      <c r="P35" s="31"/>
      <c r="Q35" s="9">
        <v>8</v>
      </c>
      <c r="R35" s="9">
        <v>8</v>
      </c>
      <c r="S35" s="31"/>
      <c r="T35" s="9">
        <v>8</v>
      </c>
      <c r="U35" s="9">
        <v>8</v>
      </c>
      <c r="V35" s="31"/>
      <c r="W35" s="9">
        <v>4</v>
      </c>
      <c r="X35" s="9">
        <v>4</v>
      </c>
      <c r="Y35" s="9">
        <v>4</v>
      </c>
      <c r="Z35" s="9">
        <v>4</v>
      </c>
      <c r="AA35" s="31"/>
      <c r="AB35" s="9">
        <v>16</v>
      </c>
      <c r="AC35" s="9">
        <v>16</v>
      </c>
      <c r="AD35" s="9">
        <v>16</v>
      </c>
      <c r="AE35" s="31"/>
      <c r="AF35" s="9"/>
      <c r="AM35" s="37"/>
      <c r="AN35" s="37"/>
    </row>
    <row r="36" spans="1:46" x14ac:dyDescent="0.2">
      <c r="A36" s="43"/>
      <c r="B36" s="35" t="s">
        <v>194</v>
      </c>
      <c r="C36" s="37" t="s">
        <v>81</v>
      </c>
      <c r="D36" s="9">
        <v>8</v>
      </c>
      <c r="E36" s="31"/>
      <c r="F36" s="9">
        <v>8</v>
      </c>
      <c r="G36" s="9">
        <v>4</v>
      </c>
      <c r="H36" s="9">
        <v>64</v>
      </c>
      <c r="I36" s="9">
        <f>I34/I35</f>
        <v>16</v>
      </c>
      <c r="J36" s="9">
        <f>J34/J35</f>
        <v>32</v>
      </c>
      <c r="K36" s="31"/>
      <c r="L36" s="9">
        <v>16</v>
      </c>
      <c r="M36" s="9">
        <v>16</v>
      </c>
      <c r="N36" s="9">
        <v>32</v>
      </c>
      <c r="O36" s="9">
        <v>32</v>
      </c>
      <c r="P36" s="31"/>
      <c r="Q36" s="9">
        <v>8</v>
      </c>
      <c r="R36" s="9">
        <v>8</v>
      </c>
      <c r="S36" s="31"/>
      <c r="T36" s="9">
        <v>16</v>
      </c>
      <c r="U36" s="9">
        <v>16</v>
      </c>
      <c r="V36" s="31"/>
      <c r="W36" s="9">
        <v>8</v>
      </c>
      <c r="X36" s="9">
        <v>4</v>
      </c>
      <c r="Y36" s="9">
        <v>4</v>
      </c>
      <c r="Z36" s="9">
        <v>8</v>
      </c>
      <c r="AA36" s="31"/>
      <c r="AB36" s="9">
        <f>AB34/AB35</f>
        <v>8</v>
      </c>
      <c r="AC36" s="9">
        <f>AC34/AC35</f>
        <v>32</v>
      </c>
      <c r="AD36" s="9">
        <f>AD34/AD35</f>
        <v>4</v>
      </c>
      <c r="AE36" s="31"/>
      <c r="AF36" s="9"/>
      <c r="AM36" s="37"/>
      <c r="AN36" s="37"/>
    </row>
    <row r="37" spans="1:46" x14ac:dyDescent="0.2">
      <c r="A37" s="43"/>
      <c r="B37" s="1" t="s">
        <v>86</v>
      </c>
      <c r="C37" s="37" t="s">
        <v>83</v>
      </c>
      <c r="D37" s="9">
        <f>D43*D35</f>
        <v>2048</v>
      </c>
      <c r="E37" s="31"/>
      <c r="F37" s="9">
        <f>F43*F35</f>
        <v>8192</v>
      </c>
      <c r="G37" s="9">
        <f>G43*G35</f>
        <v>8192</v>
      </c>
      <c r="H37" s="9">
        <f>H43*H35</f>
        <v>16384</v>
      </c>
      <c r="I37" s="9">
        <f>I43*I35</f>
        <v>4096</v>
      </c>
      <c r="J37" s="9">
        <f>J43*J35</f>
        <v>8192</v>
      </c>
      <c r="K37" s="31"/>
      <c r="L37" s="9">
        <f>L43*L35</f>
        <v>8192</v>
      </c>
      <c r="M37" s="9">
        <f>M43*M35</f>
        <v>8192</v>
      </c>
      <c r="N37" s="9">
        <f>N43*N35</f>
        <v>8192</v>
      </c>
      <c r="O37" s="9">
        <f>O43*O35</f>
        <v>8192</v>
      </c>
      <c r="P37" s="31"/>
      <c r="Q37" s="9">
        <f>Q43*Q35</f>
        <v>4096</v>
      </c>
      <c r="R37" s="9">
        <f>R43*R35</f>
        <v>4096</v>
      </c>
      <c r="S37" s="31"/>
      <c r="T37" s="9">
        <f>T43*T35</f>
        <v>4096</v>
      </c>
      <c r="U37" s="9">
        <f>U43*U35</f>
        <v>4096</v>
      </c>
      <c r="V37" s="31"/>
      <c r="W37" s="9">
        <f>W43*W35</f>
        <v>2048</v>
      </c>
      <c r="X37" s="9">
        <f>X43*X35</f>
        <v>2048</v>
      </c>
      <c r="Y37" s="9">
        <f>Y43*Y35</f>
        <v>2048</v>
      </c>
      <c r="Z37" s="9">
        <f>Z43*Z35</f>
        <v>2048</v>
      </c>
      <c r="AA37" s="31"/>
      <c r="AB37" s="9">
        <f>AB43*AB35</f>
        <v>8192</v>
      </c>
      <c r="AC37" s="9">
        <f>AC43*AC35</f>
        <v>8192</v>
      </c>
      <c r="AD37" s="9">
        <f>AD43*AD35</f>
        <v>8192</v>
      </c>
      <c r="AE37" s="31"/>
      <c r="AF37" s="9"/>
      <c r="AM37" s="37"/>
      <c r="AN37" s="37"/>
    </row>
    <row r="38" spans="1:46" hidden="1" outlineLevel="1" x14ac:dyDescent="0.2">
      <c r="A38" s="43"/>
      <c r="AM38" s="37"/>
      <c r="AN38" s="37"/>
    </row>
    <row r="39" spans="1:46" s="28" customFormat="1" ht="6" customHeight="1" collapsed="1" x14ac:dyDescent="0.2">
      <c r="A39" s="39"/>
      <c r="B39" s="24"/>
      <c r="C39" s="25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5"/>
      <c r="AI39" s="27"/>
      <c r="AJ39" s="27"/>
      <c r="AK39" s="27"/>
      <c r="AL39" s="27"/>
      <c r="AM39" s="27"/>
      <c r="AN39" s="27"/>
      <c r="AP39" s="29"/>
      <c r="AQ39" s="29"/>
      <c r="AR39" s="29"/>
      <c r="AS39" s="29"/>
      <c r="AT39" s="29"/>
    </row>
    <row r="40" spans="1:46" x14ac:dyDescent="0.2">
      <c r="A40" s="43" t="s">
        <v>195</v>
      </c>
      <c r="B40" s="1" t="s">
        <v>87</v>
      </c>
      <c r="C40" s="37" t="s">
        <v>88</v>
      </c>
      <c r="D40" s="2">
        <f>D31/D34</f>
        <v>0.5</v>
      </c>
      <c r="F40" s="2">
        <v>1</v>
      </c>
      <c r="G40" s="2">
        <v>1</v>
      </c>
      <c r="H40" s="2">
        <v>1</v>
      </c>
      <c r="I40" s="12">
        <f>I43*I44/2^20</f>
        <v>0.25</v>
      </c>
      <c r="J40" s="12">
        <f>J43*J44/2^20</f>
        <v>0.5</v>
      </c>
      <c r="L40" s="2">
        <f>L31/L34</f>
        <v>0.5</v>
      </c>
      <c r="M40" s="2">
        <f>M31/M34</f>
        <v>0.5</v>
      </c>
      <c r="N40" s="2">
        <f>N31/N34</f>
        <v>0.5</v>
      </c>
      <c r="O40" s="2">
        <f>O31/O34</f>
        <v>0.5</v>
      </c>
      <c r="Q40" s="2">
        <f>Q31/Q34</f>
        <v>0.5</v>
      </c>
      <c r="R40" s="2">
        <f>R31/R34</f>
        <v>0.5</v>
      </c>
      <c r="T40" s="2">
        <f>T31/T34</f>
        <v>0.5</v>
      </c>
      <c r="U40" s="2">
        <f>U31/U34</f>
        <v>0.5</v>
      </c>
      <c r="W40" s="2">
        <f>W31/W34</f>
        <v>0.5</v>
      </c>
      <c r="X40" s="2">
        <f>X31/X34</f>
        <v>0.5</v>
      </c>
      <c r="Y40" s="2">
        <f>Y31/Y34</f>
        <v>0.5</v>
      </c>
      <c r="Z40" s="2">
        <f>Z31/Z34</f>
        <v>0.5</v>
      </c>
      <c r="AB40" s="12">
        <f>AB43*AB44/2^20</f>
        <v>0.25</v>
      </c>
      <c r="AC40" s="12">
        <f>AC43*AC44/2^20</f>
        <v>6.25E-2</v>
      </c>
      <c r="AD40" s="12">
        <f>AD43*AD44/2^20</f>
        <v>0.25</v>
      </c>
      <c r="AH40" s="37">
        <f>AH31/AH34</f>
        <v>2</v>
      </c>
      <c r="AI40" s="37">
        <f>AI31/AI34</f>
        <v>16</v>
      </c>
      <c r="AK40" s="37">
        <f>AK31/AK34</f>
        <v>512</v>
      </c>
      <c r="AL40" s="37">
        <f>AL31/AL34</f>
        <v>512</v>
      </c>
      <c r="AM40" s="37">
        <f>AM31/AM34</f>
        <v>512</v>
      </c>
      <c r="AN40" s="37"/>
    </row>
    <row r="41" spans="1:46" hidden="1" outlineLevel="1" x14ac:dyDescent="0.2">
      <c r="A41" s="43"/>
      <c r="B41" s="1" t="s">
        <v>89</v>
      </c>
      <c r="C41" s="37" t="s">
        <v>90</v>
      </c>
      <c r="AH41" s="37">
        <v>8</v>
      </c>
      <c r="AI41" s="37">
        <v>16</v>
      </c>
      <c r="AK41" s="37">
        <v>1</v>
      </c>
      <c r="AL41" s="37">
        <v>1</v>
      </c>
      <c r="AM41" s="37">
        <v>1</v>
      </c>
      <c r="AN41" s="37"/>
    </row>
    <row r="42" spans="1:46" hidden="1" outlineLevel="1" x14ac:dyDescent="0.2">
      <c r="A42" s="43"/>
      <c r="B42" s="1" t="s">
        <v>91</v>
      </c>
      <c r="C42" s="37" t="s">
        <v>92</v>
      </c>
      <c r="AH42" s="37">
        <f>AH40/AH41</f>
        <v>0.25</v>
      </c>
      <c r="AI42" s="37">
        <f>AI40/AI41</f>
        <v>1</v>
      </c>
      <c r="AK42" s="37">
        <f>AK40/AK41</f>
        <v>512</v>
      </c>
      <c r="AL42" s="37">
        <f>AL40/AL41</f>
        <v>512</v>
      </c>
      <c r="AM42" s="37">
        <f>AM40/AM41</f>
        <v>512</v>
      </c>
      <c r="AN42" s="37"/>
    </row>
    <row r="43" spans="1:46" collapsed="1" x14ac:dyDescent="0.2">
      <c r="A43" s="43"/>
      <c r="B43" s="1" t="s">
        <v>93</v>
      </c>
      <c r="C43" s="37" t="s">
        <v>94</v>
      </c>
      <c r="D43" s="9">
        <v>2048</v>
      </c>
      <c r="E43" s="31"/>
      <c r="F43" s="9">
        <v>1024</v>
      </c>
      <c r="G43" s="9">
        <v>1024</v>
      </c>
      <c r="H43" s="9">
        <v>1024</v>
      </c>
      <c r="I43" s="9">
        <f>512</f>
        <v>512</v>
      </c>
      <c r="J43" s="9">
        <v>1024</v>
      </c>
      <c r="K43" s="31"/>
      <c r="L43" s="9">
        <f>512</f>
        <v>512</v>
      </c>
      <c r="M43" s="9">
        <f>512</f>
        <v>512</v>
      </c>
      <c r="N43" s="9">
        <f>512</f>
        <v>512</v>
      </c>
      <c r="O43" s="9">
        <f>512</f>
        <v>512</v>
      </c>
      <c r="P43" s="31"/>
      <c r="Q43" s="9">
        <f>512</f>
        <v>512</v>
      </c>
      <c r="R43" s="9">
        <f>512</f>
        <v>512</v>
      </c>
      <c r="S43" s="31"/>
      <c r="T43" s="9">
        <f>512</f>
        <v>512</v>
      </c>
      <c r="U43" s="9">
        <f>512</f>
        <v>512</v>
      </c>
      <c r="V43" s="31"/>
      <c r="W43" s="9">
        <f>512</f>
        <v>512</v>
      </c>
      <c r="X43" s="9">
        <f>512</f>
        <v>512</v>
      </c>
      <c r="Y43" s="9">
        <f>512</f>
        <v>512</v>
      </c>
      <c r="Z43" s="9">
        <f>512</f>
        <v>512</v>
      </c>
      <c r="AA43" s="31"/>
      <c r="AB43" s="9">
        <f>512</f>
        <v>512</v>
      </c>
      <c r="AC43" s="9">
        <f>512</f>
        <v>512</v>
      </c>
      <c r="AD43" s="9">
        <f>512</f>
        <v>512</v>
      </c>
      <c r="AE43" s="31"/>
      <c r="AF43" s="9"/>
      <c r="AH43" s="37">
        <v>1024</v>
      </c>
      <c r="AI43" s="37">
        <v>1024</v>
      </c>
      <c r="AK43" s="37" t="e">
        <f>AK32*#REF!</f>
        <v>#REF!</v>
      </c>
      <c r="AL43" s="37" t="e">
        <f>AL32*#REF!</f>
        <v>#REF!</v>
      </c>
      <c r="AM43" s="37" t="e">
        <f>AM32*#REF!</f>
        <v>#REF!</v>
      </c>
      <c r="AN43" s="37"/>
    </row>
    <row r="44" spans="1:46" x14ac:dyDescent="0.2">
      <c r="A44" s="43"/>
      <c r="B44" s="1" t="s">
        <v>95</v>
      </c>
      <c r="C44" s="37" t="s">
        <v>96</v>
      </c>
      <c r="D44" s="9">
        <v>256</v>
      </c>
      <c r="E44" s="31"/>
      <c r="F44" s="9">
        <f>F40*2^20/F43</f>
        <v>1024</v>
      </c>
      <c r="G44" s="9">
        <f>G40*2^20/G43</f>
        <v>1024</v>
      </c>
      <c r="H44" s="9">
        <f>H40*2^20/H43</f>
        <v>1024</v>
      </c>
      <c r="I44" s="9">
        <v>512</v>
      </c>
      <c r="J44" s="9">
        <v>512</v>
      </c>
      <c r="K44" s="31"/>
      <c r="L44" s="9">
        <f>L40*2^20/L43</f>
        <v>1024</v>
      </c>
      <c r="M44" s="9">
        <f>M40*2^20/M43</f>
        <v>1024</v>
      </c>
      <c r="N44" s="9">
        <f>N40*2^20/N43</f>
        <v>1024</v>
      </c>
      <c r="O44" s="9">
        <f>O40*2^20/O43</f>
        <v>1024</v>
      </c>
      <c r="P44" s="31"/>
      <c r="Q44" s="9">
        <f>Q40*2^20/Q43</f>
        <v>1024</v>
      </c>
      <c r="R44" s="9">
        <f>R40*2^20/R43</f>
        <v>1024</v>
      </c>
      <c r="S44" s="31"/>
      <c r="T44" s="9">
        <f>T40*2^20/T43</f>
        <v>1024</v>
      </c>
      <c r="U44" s="9">
        <f>U40*2^20/U43</f>
        <v>1024</v>
      </c>
      <c r="V44" s="31"/>
      <c r="W44" s="9">
        <f>W40*2^20/W43</f>
        <v>1024</v>
      </c>
      <c r="X44" s="9">
        <f>X40*2^20/X43</f>
        <v>1024</v>
      </c>
      <c r="Y44" s="9">
        <f>Y40*2^20/Y43</f>
        <v>1024</v>
      </c>
      <c r="Z44" s="9">
        <f>Z40*2^20/Z43</f>
        <v>1024</v>
      </c>
      <c r="AA44" s="31"/>
      <c r="AB44" s="9">
        <v>512</v>
      </c>
      <c r="AC44" s="9">
        <v>128</v>
      </c>
      <c r="AD44" s="9">
        <v>512</v>
      </c>
      <c r="AE44" s="31"/>
      <c r="AF44" s="9"/>
      <c r="AH44" s="37">
        <f>AH42*1024*1024/AH43</f>
        <v>256</v>
      </c>
      <c r="AI44" s="37">
        <f>AI42*1024*1024/AI43</f>
        <v>1024</v>
      </c>
      <c r="AK44" s="37" t="e">
        <f>AK42*1024*1024/AK43</f>
        <v>#REF!</v>
      </c>
      <c r="AL44" s="37" t="e">
        <f>AL42*1024*1024/AL43</f>
        <v>#REF!</v>
      </c>
      <c r="AM44" s="37" t="e">
        <f>AM42*1024*1024/AM43</f>
        <v>#REF!</v>
      </c>
      <c r="AN44" s="37"/>
    </row>
    <row r="45" spans="1:46" hidden="1" outlineLevel="1" x14ac:dyDescent="0.2">
      <c r="A45" s="43"/>
      <c r="E45" s="31"/>
      <c r="F45" s="9"/>
      <c r="G45" s="9"/>
      <c r="H45" s="9"/>
      <c r="I45" s="9"/>
      <c r="J45" s="9"/>
      <c r="K45" s="31"/>
      <c r="L45" s="9"/>
      <c r="M45" s="9"/>
      <c r="N45" s="9"/>
      <c r="O45" s="9"/>
      <c r="P45" s="31"/>
      <c r="Q45" s="9"/>
      <c r="R45" s="9"/>
      <c r="S45" s="31"/>
      <c r="T45" s="9"/>
      <c r="U45" s="9"/>
      <c r="V45" s="31"/>
      <c r="W45" s="9"/>
      <c r="X45" s="9"/>
      <c r="Y45" s="9"/>
      <c r="Z45" s="9"/>
      <c r="AA45" s="31"/>
      <c r="AB45" s="9"/>
      <c r="AC45" s="9"/>
      <c r="AD45" s="9"/>
      <c r="AE45" s="31"/>
      <c r="AF45" s="9"/>
      <c r="AM45" s="37"/>
      <c r="AN45" s="37"/>
    </row>
    <row r="46" spans="1:46" s="28" customFormat="1" ht="6" customHeight="1" collapsed="1" x14ac:dyDescent="0.2">
      <c r="A46" s="39"/>
      <c r="B46" s="24"/>
      <c r="C46" s="25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5"/>
      <c r="AI46" s="27"/>
      <c r="AJ46" s="27"/>
      <c r="AK46" s="27"/>
      <c r="AL46" s="27"/>
      <c r="AM46" s="27"/>
      <c r="AN46" s="27"/>
      <c r="AP46" s="29"/>
      <c r="AQ46" s="29"/>
      <c r="AR46" s="29"/>
      <c r="AS46" s="29"/>
      <c r="AT46" s="29"/>
    </row>
    <row r="47" spans="1:46" ht="19" x14ac:dyDescent="0.2">
      <c r="B47" s="1" t="s">
        <v>97</v>
      </c>
      <c r="C47" s="37" t="s">
        <v>98</v>
      </c>
      <c r="D47" s="2">
        <f>0.108*0.135</f>
        <v>1.4580000000000001E-2</v>
      </c>
      <c r="AH47" s="37">
        <v>2.9000000000000001E-2</v>
      </c>
      <c r="AI47" s="37">
        <f>AI52*AI53/1000000</f>
        <v>2.392E-3</v>
      </c>
      <c r="AK47" s="37">
        <v>2.5999999999999999E-3</v>
      </c>
      <c r="AL47" s="37">
        <v>3.3E-3</v>
      </c>
      <c r="AM47" s="37">
        <v>2.5000000000000001E-3</v>
      </c>
      <c r="AN47" s="37"/>
    </row>
    <row r="48" spans="1:46" x14ac:dyDescent="0.2">
      <c r="B48" s="1" t="s">
        <v>99</v>
      </c>
      <c r="C48" s="37" t="s">
        <v>100</v>
      </c>
      <c r="D48" s="2" t="s">
        <v>101</v>
      </c>
      <c r="AI48" s="13">
        <f>AI47*1000000/AI51^2*4</f>
        <v>9.1144642584971809</v>
      </c>
      <c r="AM48" s="37"/>
      <c r="AN48" s="37"/>
    </row>
    <row r="49" spans="2:40" x14ac:dyDescent="0.2">
      <c r="B49" s="1" t="s">
        <v>102</v>
      </c>
      <c r="C49" s="37" t="s">
        <v>9</v>
      </c>
      <c r="D49" s="2">
        <v>108</v>
      </c>
      <c r="AH49" s="37">
        <v>108</v>
      </c>
      <c r="AM49" s="37"/>
      <c r="AN49" s="37"/>
    </row>
    <row r="50" spans="2:40" x14ac:dyDescent="0.2">
      <c r="B50" s="1" t="s">
        <v>103</v>
      </c>
      <c r="C50" s="37" t="s">
        <v>9</v>
      </c>
      <c r="D50" s="2">
        <v>135</v>
      </c>
      <c r="AH50" s="37">
        <v>270</v>
      </c>
      <c r="AM50" s="37"/>
      <c r="AN50" s="37"/>
    </row>
    <row r="51" spans="2:40" x14ac:dyDescent="0.2">
      <c r="B51" s="1" t="s">
        <v>104</v>
      </c>
      <c r="C51" s="37" t="s">
        <v>9</v>
      </c>
      <c r="D51" s="2">
        <v>108</v>
      </c>
      <c r="AI51" s="37">
        <v>32.4</v>
      </c>
      <c r="AK51" s="37">
        <v>37</v>
      </c>
      <c r="AL51" s="37">
        <v>38</v>
      </c>
      <c r="AM51" s="37">
        <v>38</v>
      </c>
      <c r="AN51" s="37"/>
    </row>
    <row r="52" spans="2:40" x14ac:dyDescent="0.2">
      <c r="B52" s="1" t="s">
        <v>105</v>
      </c>
      <c r="C52" s="37" t="s">
        <v>9</v>
      </c>
      <c r="D52" s="2">
        <v>108</v>
      </c>
      <c r="AH52" s="37">
        <v>108</v>
      </c>
      <c r="AI52" s="37">
        <v>46</v>
      </c>
      <c r="AK52" s="37">
        <v>48</v>
      </c>
      <c r="AL52" s="37">
        <v>53</v>
      </c>
      <c r="AM52" s="37">
        <v>47</v>
      </c>
      <c r="AN52" s="37"/>
    </row>
    <row r="53" spans="2:40" x14ac:dyDescent="0.2">
      <c r="B53" s="1" t="s">
        <v>106</v>
      </c>
      <c r="C53" s="37" t="s">
        <v>9</v>
      </c>
      <c r="D53" s="2">
        <v>135</v>
      </c>
      <c r="AH53" s="9">
        <v>270</v>
      </c>
      <c r="AI53" s="9">
        <v>52</v>
      </c>
      <c r="AJ53" s="9"/>
      <c r="AK53" s="9">
        <v>54</v>
      </c>
      <c r="AL53" s="9">
        <v>62</v>
      </c>
      <c r="AM53" s="9">
        <v>54</v>
      </c>
      <c r="AN53" s="9"/>
    </row>
    <row r="54" spans="2:40" x14ac:dyDescent="0.2">
      <c r="B54" s="1" t="s">
        <v>107</v>
      </c>
      <c r="C54" s="37" t="s">
        <v>9</v>
      </c>
      <c r="D54" s="2">
        <v>500</v>
      </c>
      <c r="AH54" s="9">
        <v>550</v>
      </c>
      <c r="AI54" s="9">
        <v>1090</v>
      </c>
      <c r="AJ54" s="9"/>
      <c r="AK54" s="9">
        <v>1356</v>
      </c>
      <c r="AL54" s="9">
        <v>1635</v>
      </c>
      <c r="AM54" s="9">
        <v>1200</v>
      </c>
      <c r="AN54" s="9"/>
    </row>
    <row r="55" spans="2:40" x14ac:dyDescent="0.2">
      <c r="B55" s="1" t="s">
        <v>108</v>
      </c>
      <c r="C55" s="37" t="s">
        <v>109</v>
      </c>
      <c r="D55" s="2" t="s">
        <v>101</v>
      </c>
      <c r="AH55" s="9" t="s">
        <v>101</v>
      </c>
      <c r="AI55" s="9" t="s">
        <v>110</v>
      </c>
      <c r="AJ55" s="9"/>
      <c r="AK55" s="9" t="s">
        <v>110</v>
      </c>
      <c r="AL55" s="9" t="s">
        <v>110</v>
      </c>
      <c r="AM55" s="9" t="s">
        <v>110</v>
      </c>
      <c r="AN55" s="9"/>
    </row>
    <row r="56" spans="2:40" x14ac:dyDescent="0.2">
      <c r="B56" s="1" t="s">
        <v>111</v>
      </c>
      <c r="C56" s="37" t="s">
        <v>112</v>
      </c>
      <c r="D56" s="2">
        <f>0.00000000000885*50*(2*D54*(89+64))*0.001/0.000000006</f>
        <v>11.283750000000001</v>
      </c>
      <c r="AH56" s="9">
        <v>13</v>
      </c>
      <c r="AI56" s="13">
        <v>12.1</v>
      </c>
      <c r="AJ56" s="13"/>
      <c r="AK56" s="13">
        <v>12.1</v>
      </c>
      <c r="AL56" s="13"/>
      <c r="AM56" s="13"/>
      <c r="AN56" s="13"/>
    </row>
    <row r="57" spans="2:40" x14ac:dyDescent="0.2">
      <c r="B57" s="1" t="s">
        <v>113</v>
      </c>
      <c r="C57" s="37" t="s">
        <v>9</v>
      </c>
      <c r="D57" s="2">
        <v>73</v>
      </c>
      <c r="AH57" s="9"/>
      <c r="AI57" s="13"/>
      <c r="AJ57" s="13"/>
      <c r="AK57" s="13"/>
      <c r="AL57" s="13"/>
      <c r="AM57" s="13"/>
      <c r="AN57" s="13"/>
    </row>
    <row r="58" spans="2:40" x14ac:dyDescent="0.2">
      <c r="B58" s="1" t="s">
        <v>114</v>
      </c>
      <c r="C58" s="37" t="s">
        <v>9</v>
      </c>
      <c r="D58" s="2">
        <v>27.5</v>
      </c>
      <c r="AH58" s="9"/>
      <c r="AI58" s="13"/>
      <c r="AJ58" s="13"/>
      <c r="AK58" s="13"/>
      <c r="AL58" s="13"/>
      <c r="AM58" s="13"/>
      <c r="AN58" s="13"/>
    </row>
    <row r="59" spans="2:40" x14ac:dyDescent="0.2">
      <c r="B59" s="1" t="s">
        <v>115</v>
      </c>
      <c r="C59" s="37" t="s">
        <v>116</v>
      </c>
      <c r="D59" s="2">
        <f>0.03125*1000</f>
        <v>31.25</v>
      </c>
      <c r="AH59" s="14">
        <f>3500/128</f>
        <v>27.34375</v>
      </c>
      <c r="AJ59" s="13"/>
      <c r="AK59" s="14">
        <f>22000/1024</f>
        <v>21.484375</v>
      </c>
      <c r="AL59" s="13"/>
      <c r="AM59" s="13"/>
      <c r="AN59" s="13"/>
    </row>
    <row r="60" spans="2:40" x14ac:dyDescent="0.2">
      <c r="B60" s="1" t="s">
        <v>117</v>
      </c>
      <c r="C60" s="37" t="s">
        <v>118</v>
      </c>
      <c r="D60" s="2">
        <f>0.0000025*0.01*0.000000135/(0.00000004*0.000000056)</f>
        <v>1.5066964285714286</v>
      </c>
      <c r="AH60" s="9">
        <f>2300/1024</f>
        <v>2.24609375</v>
      </c>
      <c r="AI60" s="9"/>
      <c r="AJ60" s="9"/>
      <c r="AK60" s="9">
        <f>12000/1024</f>
        <v>11.71875</v>
      </c>
      <c r="AL60" s="9"/>
    </row>
    <row r="61" spans="2:40" x14ac:dyDescent="0.2">
      <c r="B61" s="1" t="s">
        <v>119</v>
      </c>
      <c r="C61" s="37" t="s">
        <v>118</v>
      </c>
      <c r="D61" s="11">
        <f>600/128</f>
        <v>4.6875</v>
      </c>
      <c r="E61" s="32"/>
      <c r="F61" s="11"/>
      <c r="G61" s="11"/>
      <c r="H61" s="11"/>
      <c r="I61" s="11"/>
      <c r="J61" s="11"/>
      <c r="K61" s="32"/>
      <c r="L61" s="11"/>
      <c r="M61" s="11"/>
      <c r="N61" s="11"/>
      <c r="O61" s="11"/>
      <c r="P61" s="32"/>
      <c r="Q61" s="11"/>
      <c r="R61" s="11"/>
      <c r="S61" s="32"/>
      <c r="T61" s="11"/>
      <c r="U61" s="11"/>
      <c r="V61" s="32"/>
      <c r="W61" s="11"/>
      <c r="X61" s="11"/>
      <c r="Y61" s="11"/>
      <c r="Z61" s="11"/>
      <c r="AA61" s="32"/>
      <c r="AB61" s="11"/>
      <c r="AC61" s="11"/>
      <c r="AD61" s="11"/>
      <c r="AE61" s="32"/>
      <c r="AF61" s="11"/>
      <c r="AG61" s="11"/>
      <c r="AH61" s="15">
        <f>800/128</f>
        <v>6.25</v>
      </c>
      <c r="AI61" s="10"/>
      <c r="AJ61" s="10"/>
      <c r="AK61" s="15">
        <f>8000/1024</f>
        <v>7.8125</v>
      </c>
      <c r="AL61" s="10"/>
    </row>
    <row r="62" spans="2:40" x14ac:dyDescent="0.2">
      <c r="B62" s="1" t="s">
        <v>120</v>
      </c>
      <c r="C62" s="37" t="s">
        <v>116</v>
      </c>
      <c r="D62" s="11">
        <f>90000/1024</f>
        <v>87.890625</v>
      </c>
      <c r="E62" s="32"/>
      <c r="F62" s="11"/>
      <c r="G62" s="11"/>
      <c r="H62" s="11"/>
      <c r="I62" s="11"/>
      <c r="J62" s="11"/>
      <c r="K62" s="32"/>
      <c r="L62" s="11"/>
      <c r="M62" s="11"/>
      <c r="N62" s="11"/>
      <c r="O62" s="11"/>
      <c r="P62" s="32"/>
      <c r="Q62" s="11"/>
      <c r="R62" s="11"/>
      <c r="S62" s="32"/>
      <c r="T62" s="11"/>
      <c r="U62" s="11"/>
      <c r="V62" s="32"/>
      <c r="W62" s="11"/>
      <c r="X62" s="11"/>
      <c r="Y62" s="11"/>
      <c r="Z62" s="11"/>
      <c r="AA62" s="32"/>
      <c r="AB62" s="11"/>
      <c r="AC62" s="11"/>
      <c r="AD62" s="11"/>
      <c r="AE62" s="32"/>
      <c r="AF62" s="11"/>
      <c r="AG62" s="11"/>
      <c r="AH62" s="11">
        <f>50000/1024</f>
        <v>48.828125</v>
      </c>
      <c r="AI62" s="16"/>
      <c r="AJ62" s="16"/>
      <c r="AK62" s="11">
        <f>29000/1024</f>
        <v>28.3203125</v>
      </c>
      <c r="AL62" s="10"/>
    </row>
    <row r="63" spans="2:40" x14ac:dyDescent="0.2">
      <c r="B63" s="1" t="s">
        <v>121</v>
      </c>
      <c r="C63" s="37" t="s">
        <v>116</v>
      </c>
      <c r="D63" s="11">
        <f>(6000+4000+5000)/128</f>
        <v>117.1875</v>
      </c>
      <c r="E63" s="32"/>
      <c r="F63" s="11"/>
      <c r="G63" s="11"/>
      <c r="H63" s="11"/>
      <c r="I63" s="11"/>
      <c r="J63" s="11"/>
      <c r="K63" s="32"/>
      <c r="L63" s="11"/>
      <c r="M63" s="11"/>
      <c r="N63" s="11"/>
      <c r="O63" s="11"/>
      <c r="P63" s="32"/>
      <c r="Q63" s="11"/>
      <c r="R63" s="11"/>
      <c r="S63" s="32"/>
      <c r="T63" s="11"/>
      <c r="U63" s="11"/>
      <c r="V63" s="32"/>
      <c r="W63" s="11"/>
      <c r="X63" s="11"/>
      <c r="Y63" s="11"/>
      <c r="Z63" s="11"/>
      <c r="AA63" s="32"/>
      <c r="AB63" s="11"/>
      <c r="AC63" s="11"/>
      <c r="AD63" s="11"/>
      <c r="AE63" s="32"/>
      <c r="AF63" s="11"/>
      <c r="AG63" s="11"/>
      <c r="AH63" s="11">
        <v>80</v>
      </c>
      <c r="AI63" s="11"/>
      <c r="AJ63" s="11"/>
      <c r="AK63" s="11">
        <f>19000/1024</f>
        <v>18.5546875</v>
      </c>
      <c r="AL63" s="11"/>
    </row>
    <row r="64" spans="2:40" x14ac:dyDescent="0.2">
      <c r="B64" s="1" t="s">
        <v>122</v>
      </c>
      <c r="D64" s="11"/>
      <c r="E64" s="32"/>
      <c r="F64" s="11"/>
      <c r="G64" s="11"/>
      <c r="H64" s="11"/>
      <c r="I64" s="11"/>
      <c r="J64" s="11"/>
      <c r="K64" s="32"/>
      <c r="L64" s="11"/>
      <c r="M64" s="11"/>
      <c r="N64" s="11"/>
      <c r="O64" s="11"/>
      <c r="P64" s="32"/>
      <c r="Q64" s="11"/>
      <c r="R64" s="11"/>
      <c r="S64" s="32"/>
      <c r="T64" s="11"/>
      <c r="U64" s="11"/>
      <c r="V64" s="32"/>
      <c r="W64" s="11"/>
      <c r="X64" s="11"/>
      <c r="Y64" s="11"/>
      <c r="Z64" s="11"/>
      <c r="AA64" s="32"/>
      <c r="AB64" s="11"/>
      <c r="AC64" s="11"/>
      <c r="AD64" s="11"/>
      <c r="AE64" s="32"/>
      <c r="AF64" s="11"/>
      <c r="AG64" s="11"/>
      <c r="AH64" s="11"/>
      <c r="AI64" s="11"/>
      <c r="AJ64" s="11"/>
      <c r="AK64" s="11"/>
      <c r="AL64" s="11"/>
    </row>
    <row r="65" spans="2:38" ht="18" x14ac:dyDescent="0.2">
      <c r="B65" s="1" t="s">
        <v>123</v>
      </c>
      <c r="C65" s="37" t="s">
        <v>124</v>
      </c>
      <c r="D65" s="11">
        <v>6.2</v>
      </c>
      <c r="E65" s="32"/>
      <c r="F65" s="11"/>
      <c r="G65" s="11"/>
      <c r="H65" s="11"/>
      <c r="I65" s="11"/>
      <c r="J65" s="11"/>
      <c r="K65" s="32"/>
      <c r="L65" s="11"/>
      <c r="M65" s="11"/>
      <c r="N65" s="11"/>
      <c r="O65" s="11"/>
      <c r="P65" s="32"/>
      <c r="Q65" s="11"/>
      <c r="R65" s="11"/>
      <c r="S65" s="32"/>
      <c r="T65" s="11"/>
      <c r="U65" s="11"/>
      <c r="V65" s="32"/>
      <c r="W65" s="11"/>
      <c r="X65" s="11"/>
      <c r="Y65" s="11"/>
      <c r="Z65" s="11"/>
      <c r="AA65" s="32"/>
      <c r="AB65" s="11"/>
      <c r="AC65" s="11"/>
      <c r="AD65" s="11"/>
      <c r="AE65" s="32"/>
      <c r="AF65" s="11"/>
      <c r="AG65" s="11"/>
      <c r="AH65" s="11">
        <v>7</v>
      </c>
      <c r="AI65" s="11"/>
      <c r="AJ65" s="11"/>
      <c r="AK65" s="11" t="s">
        <v>125</v>
      </c>
      <c r="AL65" s="11"/>
    </row>
    <row r="66" spans="2:38" x14ac:dyDescent="0.2">
      <c r="B66" s="1" t="s">
        <v>126</v>
      </c>
      <c r="C66" s="37" t="s">
        <v>70</v>
      </c>
      <c r="D66" s="11">
        <v>1024</v>
      </c>
      <c r="E66" s="32"/>
      <c r="F66" s="11"/>
      <c r="G66" s="11"/>
      <c r="H66" s="11"/>
      <c r="I66" s="11"/>
      <c r="J66" s="11"/>
      <c r="K66" s="32"/>
      <c r="L66" s="11"/>
      <c r="M66" s="11"/>
      <c r="N66" s="11"/>
      <c r="O66" s="11"/>
      <c r="P66" s="32"/>
      <c r="Q66" s="11"/>
      <c r="R66" s="11"/>
      <c r="S66" s="32"/>
      <c r="T66" s="11"/>
      <c r="U66" s="11"/>
      <c r="V66" s="32"/>
      <c r="W66" s="11"/>
      <c r="X66" s="11"/>
      <c r="Y66" s="11"/>
      <c r="Z66" s="11"/>
      <c r="AA66" s="32"/>
      <c r="AB66" s="11"/>
      <c r="AC66" s="11"/>
      <c r="AD66" s="11"/>
      <c r="AE66" s="32"/>
      <c r="AF66" s="11"/>
      <c r="AG66" s="11"/>
      <c r="AH66" s="11"/>
      <c r="AI66" s="11"/>
      <c r="AJ66" s="11"/>
      <c r="AK66" s="11"/>
      <c r="AL66" s="11"/>
    </row>
    <row r="67" spans="2:38" x14ac:dyDescent="0.2">
      <c r="B67" s="1" t="s">
        <v>127</v>
      </c>
      <c r="C67" s="37" t="s">
        <v>70</v>
      </c>
      <c r="D67" s="11">
        <v>128</v>
      </c>
      <c r="E67" s="32"/>
      <c r="F67" s="11"/>
      <c r="G67" s="11"/>
      <c r="H67" s="11"/>
      <c r="I67" s="11"/>
      <c r="J67" s="11"/>
      <c r="K67" s="32"/>
      <c r="L67" s="11"/>
      <c r="M67" s="11"/>
      <c r="N67" s="11"/>
      <c r="O67" s="11"/>
      <c r="P67" s="32"/>
      <c r="Q67" s="11"/>
      <c r="R67" s="11"/>
      <c r="S67" s="32"/>
      <c r="T67" s="11"/>
      <c r="U67" s="11"/>
      <c r="V67" s="32"/>
      <c r="W67" s="11"/>
      <c r="X67" s="11"/>
      <c r="Y67" s="11"/>
      <c r="Z67" s="11"/>
      <c r="AA67" s="32"/>
      <c r="AB67" s="11"/>
      <c r="AC67" s="11"/>
      <c r="AD67" s="11"/>
      <c r="AE67" s="32"/>
      <c r="AF67" s="11"/>
      <c r="AG67" s="11"/>
      <c r="AH67" s="11">
        <v>128</v>
      </c>
      <c r="AI67" s="11">
        <v>128</v>
      </c>
      <c r="AJ67" s="11">
        <v>128</v>
      </c>
      <c r="AK67" s="11"/>
      <c r="AL67" s="11"/>
    </row>
    <row r="68" spans="2:38" x14ac:dyDescent="0.2">
      <c r="B68" s="1" t="s">
        <v>128</v>
      </c>
      <c r="C68" s="37" t="s">
        <v>129</v>
      </c>
      <c r="D68" s="11">
        <f>D56/(D67*0.001*D59+D67*0.001*D63+D65)</f>
        <v>0.44776785714285722</v>
      </c>
      <c r="E68" s="32"/>
      <c r="F68" s="11"/>
      <c r="G68" s="11"/>
      <c r="H68" s="11"/>
      <c r="I68" s="11"/>
      <c r="J68" s="11"/>
      <c r="K68" s="32"/>
      <c r="L68" s="11"/>
      <c r="M68" s="11"/>
      <c r="N68" s="11"/>
      <c r="O68" s="11"/>
      <c r="P68" s="32"/>
      <c r="Q68" s="11"/>
      <c r="R68" s="11"/>
      <c r="S68" s="32"/>
      <c r="T68" s="11"/>
      <c r="U68" s="11"/>
      <c r="V68" s="32"/>
      <c r="W68" s="11"/>
      <c r="X68" s="11"/>
      <c r="Y68" s="11"/>
      <c r="Z68" s="11"/>
      <c r="AA68" s="32"/>
      <c r="AB68" s="11"/>
      <c r="AC68" s="11"/>
      <c r="AD68" s="11"/>
      <c r="AE68" s="32"/>
      <c r="AF68" s="11"/>
      <c r="AG68" s="11"/>
      <c r="AH68" s="11"/>
      <c r="AI68" s="11"/>
      <c r="AJ68" s="11"/>
      <c r="AK68" s="11"/>
      <c r="AL68" s="11"/>
    </row>
    <row r="69" spans="2:38" x14ac:dyDescent="0.2">
      <c r="B69" s="1" t="s">
        <v>130</v>
      </c>
      <c r="C69" s="37" t="s">
        <v>131</v>
      </c>
      <c r="D69" s="11">
        <f t="shared" ref="D69" si="0">((D56*0.7+(D63+D59)/1000*D67*0.5)/(D56+(D63+D59)*D67/1000)*1000)-470</f>
        <v>104.52016345399761</v>
      </c>
      <c r="E69" s="32"/>
      <c r="F69" s="11"/>
      <c r="G69" s="11"/>
      <c r="H69" s="11"/>
      <c r="I69" s="11"/>
      <c r="J69" s="11"/>
      <c r="K69" s="32"/>
      <c r="L69" s="11"/>
      <c r="M69" s="11"/>
      <c r="N69" s="11"/>
      <c r="O69" s="11"/>
      <c r="P69" s="32"/>
      <c r="Q69" s="11"/>
      <c r="R69" s="11"/>
      <c r="S69" s="32"/>
      <c r="T69" s="11"/>
      <c r="U69" s="11"/>
      <c r="V69" s="32"/>
      <c r="W69" s="11"/>
      <c r="X69" s="11"/>
      <c r="Y69" s="11"/>
      <c r="Z69" s="11"/>
      <c r="AA69" s="32"/>
      <c r="AB69" s="11"/>
      <c r="AC69" s="11"/>
      <c r="AD69" s="11"/>
      <c r="AE69" s="32"/>
      <c r="AF69" s="11"/>
      <c r="AG69" s="11"/>
      <c r="AH69" s="11"/>
      <c r="AI69" s="11"/>
      <c r="AJ69" s="11"/>
      <c r="AK69" s="11"/>
      <c r="AL69" s="11"/>
    </row>
    <row r="70" spans="2:38" x14ac:dyDescent="0.2">
      <c r="B70" s="1" t="s">
        <v>132</v>
      </c>
      <c r="C70" s="37" t="s">
        <v>64</v>
      </c>
      <c r="D70" s="11">
        <f>(500*D62*D66+D60*D66*D62*D66/2)*0.00000001</f>
        <v>1.1442857142857144</v>
      </c>
      <c r="E70" s="32"/>
      <c r="F70" s="11"/>
      <c r="G70" s="11"/>
      <c r="H70" s="11"/>
      <c r="I70" s="11"/>
      <c r="J70" s="11"/>
      <c r="K70" s="32"/>
      <c r="L70" s="11"/>
      <c r="M70" s="11"/>
      <c r="N70" s="11"/>
      <c r="O70" s="11"/>
      <c r="P70" s="32"/>
      <c r="Q70" s="11"/>
      <c r="R70" s="11"/>
      <c r="S70" s="32"/>
      <c r="T70" s="11"/>
      <c r="U70" s="11"/>
      <c r="V70" s="32"/>
      <c r="W70" s="11"/>
      <c r="X70" s="11"/>
      <c r="Y70" s="11"/>
      <c r="Z70" s="11"/>
      <c r="AA70" s="32"/>
      <c r="AB70" s="11"/>
      <c r="AC70" s="11"/>
      <c r="AD70" s="11"/>
      <c r="AE70" s="32"/>
      <c r="AF70" s="11"/>
      <c r="AG70" s="11"/>
      <c r="AH70" s="11"/>
      <c r="AI70" s="11"/>
      <c r="AJ70" s="11"/>
      <c r="AK70" s="11"/>
      <c r="AL70" s="11"/>
    </row>
    <row r="71" spans="2:38" x14ac:dyDescent="0.2">
      <c r="B71" s="1" t="s">
        <v>133</v>
      </c>
      <c r="C71" s="37" t="s">
        <v>64</v>
      </c>
      <c r="D71" s="11">
        <f>(D75+2*D78)*(D65+D63*D67*0.001+D56+D59*0.001)*0.000001+(D61*D67)*(D65+D63*D67*0.001+D56+D59*0.001)/2*0.000001</f>
        <v>2.4862394315068492</v>
      </c>
      <c r="E71" s="32"/>
      <c r="F71" s="11"/>
      <c r="G71" s="11"/>
      <c r="H71" s="11"/>
      <c r="I71" s="11"/>
      <c r="J71" s="11"/>
      <c r="K71" s="32"/>
      <c r="L71" s="11"/>
      <c r="M71" s="11"/>
      <c r="N71" s="11"/>
      <c r="O71" s="11"/>
      <c r="P71" s="32"/>
      <c r="Q71" s="11"/>
      <c r="R71" s="11"/>
      <c r="S71" s="32"/>
      <c r="T71" s="11"/>
      <c r="U71" s="11"/>
      <c r="V71" s="32"/>
      <c r="W71" s="11"/>
      <c r="X71" s="11"/>
      <c r="Y71" s="11"/>
      <c r="Z71" s="11"/>
      <c r="AA71" s="32"/>
      <c r="AB71" s="11"/>
      <c r="AC71" s="11"/>
      <c r="AD71" s="11"/>
      <c r="AE71" s="32"/>
      <c r="AF71" s="11"/>
      <c r="AG71" s="11"/>
      <c r="AH71" s="11"/>
      <c r="AI71" s="11"/>
      <c r="AJ71" s="11"/>
      <c r="AK71" s="11"/>
      <c r="AL71" s="11"/>
    </row>
    <row r="72" spans="2:38" x14ac:dyDescent="0.2">
      <c r="B72" s="1" t="s">
        <v>134</v>
      </c>
      <c r="C72" s="37" t="s">
        <v>64</v>
      </c>
      <c r="D72" s="11">
        <f>D70+D71+0.5</f>
        <v>4.1305251457925634</v>
      </c>
      <c r="E72" s="32"/>
      <c r="F72" s="11"/>
      <c r="G72" s="11"/>
      <c r="H72" s="11"/>
      <c r="I72" s="11"/>
      <c r="J72" s="11"/>
      <c r="K72" s="32"/>
      <c r="L72" s="11"/>
      <c r="M72" s="11"/>
      <c r="N72" s="11"/>
      <c r="O72" s="11"/>
      <c r="P72" s="32"/>
      <c r="Q72" s="11"/>
      <c r="R72" s="11"/>
      <c r="S72" s="32"/>
      <c r="T72" s="11"/>
      <c r="U72" s="11"/>
      <c r="V72" s="32"/>
      <c r="W72" s="11"/>
      <c r="X72" s="11"/>
      <c r="Y72" s="11"/>
      <c r="Z72" s="11"/>
      <c r="AA72" s="32"/>
      <c r="AB72" s="11"/>
      <c r="AC72" s="11"/>
      <c r="AD72" s="11"/>
      <c r="AE72" s="32"/>
      <c r="AF72" s="11"/>
      <c r="AG72" s="11"/>
      <c r="AH72" s="11"/>
      <c r="AI72" s="11"/>
      <c r="AJ72" s="11"/>
      <c r="AK72" s="11"/>
      <c r="AL72" s="11"/>
    </row>
    <row r="73" spans="2:38" x14ac:dyDescent="0.2">
      <c r="B73" s="1" t="s">
        <v>135</v>
      </c>
      <c r="C73" s="37" t="s">
        <v>136</v>
      </c>
      <c r="D73" s="11" t="e">
        <f>#REF!*1.1</f>
        <v>#REF!</v>
      </c>
      <c r="E73" s="32"/>
      <c r="F73" s="11"/>
      <c r="G73" s="11"/>
      <c r="H73" s="11"/>
      <c r="I73" s="11"/>
      <c r="J73" s="11"/>
      <c r="K73" s="32"/>
      <c r="L73" s="11"/>
      <c r="M73" s="11"/>
      <c r="N73" s="11"/>
      <c r="O73" s="11"/>
      <c r="P73" s="32"/>
      <c r="Q73" s="11"/>
      <c r="R73" s="11"/>
      <c r="S73" s="32"/>
      <c r="T73" s="11"/>
      <c r="U73" s="11"/>
      <c r="V73" s="32"/>
      <c r="W73" s="11"/>
      <c r="X73" s="11"/>
      <c r="Y73" s="11"/>
      <c r="Z73" s="11"/>
      <c r="AA73" s="32"/>
      <c r="AB73" s="11"/>
      <c r="AC73" s="11"/>
      <c r="AD73" s="11"/>
      <c r="AE73" s="32"/>
      <c r="AF73" s="11"/>
      <c r="AG73" s="11"/>
      <c r="AH73" s="11"/>
      <c r="AI73" s="11"/>
      <c r="AJ73" s="11"/>
      <c r="AK73" s="11"/>
      <c r="AL73" s="11"/>
    </row>
    <row r="74" spans="2:38" x14ac:dyDescent="0.2">
      <c r="B74" s="1" t="s">
        <v>137</v>
      </c>
      <c r="C74" s="37" t="s">
        <v>138</v>
      </c>
      <c r="D74" s="2">
        <f>D85*60/73</f>
        <v>54246.575342465752</v>
      </c>
      <c r="AH74" s="10"/>
      <c r="AI74" s="10"/>
      <c r="AJ74" s="10"/>
      <c r="AK74" s="10"/>
      <c r="AL74" s="10"/>
    </row>
    <row r="75" spans="2:38" x14ac:dyDescent="0.2">
      <c r="B75" s="1" t="s">
        <v>139</v>
      </c>
      <c r="C75" s="37" t="s">
        <v>138</v>
      </c>
      <c r="D75" s="2">
        <f>D86*40/73</f>
        <v>36164.383561643837</v>
      </c>
      <c r="AH75" s="10"/>
      <c r="AI75" s="10"/>
      <c r="AJ75" s="10"/>
      <c r="AK75" s="10"/>
      <c r="AL75" s="10"/>
    </row>
    <row r="76" spans="2:38" x14ac:dyDescent="0.2">
      <c r="B76" s="1" t="s">
        <v>140</v>
      </c>
      <c r="C76" s="37" t="s">
        <v>138</v>
      </c>
      <c r="D76" s="2">
        <f>D87*20/73</f>
        <v>18082.191780821919</v>
      </c>
      <c r="AH76" s="10"/>
      <c r="AI76" s="10"/>
      <c r="AJ76" s="10"/>
      <c r="AK76" s="10"/>
      <c r="AL76" s="10"/>
    </row>
    <row r="77" spans="2:38" x14ac:dyDescent="0.2">
      <c r="B77" s="1" t="s">
        <v>141</v>
      </c>
      <c r="C77" s="37" t="s">
        <v>142</v>
      </c>
      <c r="D77" s="2">
        <v>7.2999999999999995E-2</v>
      </c>
      <c r="AH77" s="10"/>
      <c r="AI77" s="10"/>
      <c r="AJ77" s="10"/>
      <c r="AK77" s="10"/>
      <c r="AL77" s="10"/>
    </row>
    <row r="78" spans="2:38" x14ac:dyDescent="0.2">
      <c r="B78" s="1" t="s">
        <v>143</v>
      </c>
      <c r="C78" s="37" t="s">
        <v>138</v>
      </c>
      <c r="D78" s="2">
        <v>20000</v>
      </c>
      <c r="AH78" s="10"/>
      <c r="AI78" s="10"/>
      <c r="AJ78" s="10"/>
      <c r="AK78" s="10"/>
      <c r="AL78" s="10"/>
    </row>
    <row r="79" spans="2:38" x14ac:dyDescent="0.2">
      <c r="B79" s="1" t="s">
        <v>144</v>
      </c>
      <c r="C79" s="37" t="s">
        <v>138</v>
      </c>
      <c r="D79" s="2">
        <f>D78*27.5/20</f>
        <v>27500</v>
      </c>
    </row>
    <row r="80" spans="2:38" x14ac:dyDescent="0.2">
      <c r="B80" s="1" t="s">
        <v>145</v>
      </c>
      <c r="C80" s="37" t="s">
        <v>138</v>
      </c>
      <c r="D80" s="11">
        <f>D78*27.5/15</f>
        <v>36666.666666666664</v>
      </c>
      <c r="E80" s="32"/>
      <c r="F80" s="11"/>
      <c r="G80" s="11"/>
      <c r="H80" s="11"/>
      <c r="I80" s="11"/>
      <c r="J80" s="11"/>
      <c r="K80" s="32"/>
      <c r="L80" s="11"/>
      <c r="M80" s="11"/>
      <c r="N80" s="11"/>
      <c r="O80" s="11"/>
      <c r="P80" s="32"/>
      <c r="Q80" s="11"/>
      <c r="R80" s="11"/>
      <c r="S80" s="32"/>
      <c r="T80" s="11"/>
      <c r="U80" s="11"/>
      <c r="V80" s="32"/>
      <c r="W80" s="11"/>
      <c r="X80" s="11"/>
      <c r="Y80" s="11"/>
      <c r="Z80" s="11"/>
      <c r="AA80" s="32"/>
      <c r="AB80" s="11"/>
      <c r="AC80" s="11"/>
      <c r="AD80" s="11"/>
      <c r="AE80" s="32"/>
      <c r="AF80" s="11"/>
      <c r="AG80" s="11"/>
    </row>
    <row r="81" spans="2:33" x14ac:dyDescent="0.2">
      <c r="B81" s="1" t="s">
        <v>146</v>
      </c>
      <c r="C81" s="37" t="s">
        <v>147</v>
      </c>
      <c r="D81" s="17">
        <f t="shared" ref="D81" si="1">0.5/(2*D78+D75)</f>
        <v>6.5647482014388493E-6</v>
      </c>
      <c r="E81" s="33"/>
      <c r="F81" s="17"/>
      <c r="G81" s="17"/>
      <c r="H81" s="17"/>
      <c r="I81" s="17"/>
      <c r="J81" s="17"/>
      <c r="K81" s="33"/>
      <c r="L81" s="17"/>
      <c r="M81" s="17"/>
      <c r="N81" s="17"/>
      <c r="O81" s="17"/>
      <c r="P81" s="33"/>
      <c r="Q81" s="17"/>
      <c r="R81" s="17"/>
      <c r="S81" s="33"/>
      <c r="T81" s="17"/>
      <c r="U81" s="17"/>
      <c r="V81" s="33"/>
      <c r="W81" s="17"/>
      <c r="X81" s="17"/>
      <c r="Y81" s="17"/>
      <c r="Z81" s="17"/>
      <c r="AA81" s="33"/>
      <c r="AB81" s="17"/>
      <c r="AC81" s="17"/>
      <c r="AD81" s="17"/>
      <c r="AE81" s="33"/>
      <c r="AF81" s="17"/>
      <c r="AG81" s="17"/>
    </row>
    <row r="82" spans="2:33" x14ac:dyDescent="0.2">
      <c r="B82" s="1" t="s">
        <v>148</v>
      </c>
      <c r="C82" s="37" t="s">
        <v>149</v>
      </c>
      <c r="D82" s="11">
        <v>79</v>
      </c>
      <c r="E82" s="32"/>
      <c r="F82" s="11"/>
      <c r="G82" s="11"/>
      <c r="H82" s="11"/>
      <c r="I82" s="11"/>
      <c r="J82" s="11"/>
      <c r="K82" s="32"/>
      <c r="L82" s="11"/>
      <c r="M82" s="11"/>
      <c r="N82" s="11"/>
      <c r="O82" s="11"/>
      <c r="P82" s="32"/>
      <c r="Q82" s="11"/>
      <c r="R82" s="11"/>
      <c r="S82" s="32"/>
      <c r="T82" s="11"/>
      <c r="U82" s="11"/>
      <c r="V82" s="32"/>
      <c r="W82" s="11"/>
      <c r="X82" s="11"/>
      <c r="Y82" s="11"/>
      <c r="Z82" s="11"/>
      <c r="AA82" s="32"/>
      <c r="AB82" s="11"/>
      <c r="AC82" s="11"/>
      <c r="AD82" s="11"/>
      <c r="AE82" s="32"/>
      <c r="AF82" s="11"/>
      <c r="AG82" s="11"/>
    </row>
    <row r="83" spans="2:33" x14ac:dyDescent="0.2">
      <c r="B83" s="1" t="s">
        <v>150</v>
      </c>
      <c r="C83" s="37" t="s">
        <v>149</v>
      </c>
      <c r="D83" s="11">
        <v>85</v>
      </c>
      <c r="E83" s="32"/>
      <c r="F83" s="11"/>
      <c r="G83" s="11"/>
      <c r="H83" s="11"/>
      <c r="I83" s="11"/>
      <c r="J83" s="11"/>
      <c r="K83" s="32"/>
      <c r="L83" s="11"/>
      <c r="M83" s="11"/>
      <c r="N83" s="11"/>
      <c r="O83" s="11"/>
      <c r="P83" s="32"/>
      <c r="Q83" s="11"/>
      <c r="R83" s="11"/>
      <c r="S83" s="32"/>
      <c r="T83" s="11"/>
      <c r="U83" s="11"/>
      <c r="V83" s="32"/>
      <c r="W83" s="11"/>
      <c r="X83" s="11"/>
      <c r="Y83" s="11"/>
      <c r="Z83" s="11"/>
      <c r="AA83" s="32"/>
      <c r="AB83" s="11"/>
      <c r="AC83" s="11"/>
      <c r="AD83" s="11"/>
      <c r="AE83" s="32"/>
      <c r="AF83" s="11"/>
      <c r="AG83" s="11"/>
    </row>
    <row r="84" spans="2:33" x14ac:dyDescent="0.2">
      <c r="B84" s="1" t="s">
        <v>151</v>
      </c>
      <c r="C84" s="37" t="s">
        <v>149</v>
      </c>
      <c r="D84" s="11">
        <v>97</v>
      </c>
      <c r="E84" s="32"/>
      <c r="F84" s="11"/>
      <c r="G84" s="11"/>
      <c r="H84" s="11"/>
      <c r="I84" s="11"/>
      <c r="J84" s="11"/>
      <c r="K84" s="32"/>
      <c r="L84" s="11"/>
      <c r="M84" s="11"/>
      <c r="N84" s="11"/>
      <c r="O84" s="11"/>
      <c r="P84" s="32"/>
      <c r="Q84" s="11"/>
      <c r="R84" s="11"/>
      <c r="S84" s="32"/>
      <c r="T84" s="11"/>
      <c r="U84" s="11"/>
      <c r="V84" s="32"/>
      <c r="W84" s="11"/>
      <c r="X84" s="11"/>
      <c r="Y84" s="11"/>
      <c r="Z84" s="11"/>
      <c r="AA84" s="32"/>
      <c r="AB84" s="11"/>
      <c r="AC84" s="11"/>
      <c r="AD84" s="11"/>
      <c r="AE84" s="32"/>
      <c r="AF84" s="11"/>
      <c r="AG84" s="11"/>
    </row>
    <row r="85" spans="2:33" x14ac:dyDescent="0.2">
      <c r="B85" s="1" t="s">
        <v>152</v>
      </c>
      <c r="C85" s="37" t="s">
        <v>153</v>
      </c>
      <c r="D85" s="2">
        <v>66000</v>
      </c>
    </row>
    <row r="86" spans="2:33" x14ac:dyDescent="0.2">
      <c r="B86" s="1" t="s">
        <v>154</v>
      </c>
      <c r="C86" s="37" t="s">
        <v>153</v>
      </c>
      <c r="D86" s="2">
        <v>66000</v>
      </c>
    </row>
    <row r="87" spans="2:33" x14ac:dyDescent="0.2">
      <c r="B87" s="1" t="s">
        <v>155</v>
      </c>
      <c r="C87" s="37" t="s">
        <v>153</v>
      </c>
      <c r="D87" s="2">
        <v>66000</v>
      </c>
    </row>
    <row r="88" spans="2:33" x14ac:dyDescent="0.2">
      <c r="B88" s="1" t="s">
        <v>156</v>
      </c>
      <c r="C88" s="19" t="s">
        <v>157</v>
      </c>
      <c r="D88" s="18">
        <f t="shared" ref="D88" si="2">1/(D90*D85*35*1.6E-19)</f>
        <v>5.4112554112554117E+18</v>
      </c>
      <c r="E88" s="34"/>
      <c r="F88" s="18"/>
      <c r="G88" s="18"/>
      <c r="H88" s="18"/>
      <c r="I88" s="18"/>
      <c r="J88" s="18"/>
      <c r="K88" s="34"/>
      <c r="L88" s="18"/>
      <c r="M88" s="18"/>
      <c r="N88" s="18"/>
      <c r="O88" s="18"/>
      <c r="P88" s="34"/>
      <c r="Q88" s="18"/>
      <c r="R88" s="18"/>
      <c r="S88" s="34"/>
      <c r="T88" s="18"/>
      <c r="U88" s="18"/>
      <c r="V88" s="34"/>
      <c r="W88" s="18"/>
      <c r="X88" s="18"/>
      <c r="Y88" s="18"/>
      <c r="Z88" s="18"/>
      <c r="AA88" s="34"/>
      <c r="AB88" s="18"/>
      <c r="AC88" s="18"/>
      <c r="AD88" s="18"/>
      <c r="AE88" s="34"/>
      <c r="AF88" s="18"/>
      <c r="AG88" s="18"/>
    </row>
    <row r="89" spans="2:33" x14ac:dyDescent="0.2">
      <c r="B89" s="1" t="s">
        <v>158</v>
      </c>
      <c r="C89" s="19" t="s">
        <v>159</v>
      </c>
      <c r="D89" s="18">
        <f t="shared" ref="D89" si="3">D88*D90</f>
        <v>2705627705627.7056</v>
      </c>
      <c r="E89" s="34"/>
      <c r="F89" s="18"/>
      <c r="G89" s="18"/>
      <c r="H89" s="18"/>
      <c r="I89" s="18"/>
      <c r="J89" s="18"/>
      <c r="K89" s="34"/>
      <c r="L89" s="18"/>
      <c r="M89" s="18"/>
      <c r="N89" s="18"/>
      <c r="O89" s="18"/>
      <c r="P89" s="34"/>
      <c r="Q89" s="18"/>
      <c r="R89" s="18"/>
      <c r="S89" s="34"/>
      <c r="T89" s="18"/>
      <c r="U89" s="18"/>
      <c r="V89" s="34"/>
      <c r="W89" s="18"/>
      <c r="X89" s="18"/>
      <c r="Y89" s="18"/>
      <c r="Z89" s="18"/>
      <c r="AA89" s="34"/>
      <c r="AB89" s="18"/>
      <c r="AC89" s="18"/>
      <c r="AD89" s="18"/>
      <c r="AE89" s="34"/>
      <c r="AF89" s="18"/>
      <c r="AG89" s="18"/>
    </row>
    <row r="90" spans="2:33" x14ac:dyDescent="0.2">
      <c r="B90" s="1" t="s">
        <v>160</v>
      </c>
      <c r="C90" s="37" t="s">
        <v>161</v>
      </c>
      <c r="D90" s="18">
        <v>4.9999999999999998E-7</v>
      </c>
      <c r="E90" s="34"/>
      <c r="F90" s="18"/>
      <c r="G90" s="18"/>
      <c r="H90" s="18"/>
      <c r="I90" s="18"/>
      <c r="J90" s="18"/>
      <c r="K90" s="34"/>
      <c r="L90" s="18"/>
      <c r="M90" s="18"/>
      <c r="N90" s="18"/>
      <c r="O90" s="18"/>
      <c r="P90" s="34"/>
      <c r="Q90" s="18"/>
      <c r="R90" s="18"/>
      <c r="S90" s="34"/>
      <c r="T90" s="18"/>
      <c r="U90" s="18"/>
      <c r="V90" s="34"/>
      <c r="W90" s="18"/>
      <c r="X90" s="18"/>
      <c r="Y90" s="18"/>
      <c r="Z90" s="18"/>
      <c r="AA90" s="34"/>
      <c r="AB90" s="18"/>
      <c r="AC90" s="18"/>
      <c r="AD90" s="18"/>
      <c r="AE90" s="34"/>
      <c r="AF90" s="18"/>
      <c r="AG90" s="18"/>
    </row>
    <row r="91" spans="2:33" x14ac:dyDescent="0.2">
      <c r="B91" s="1" t="s">
        <v>162</v>
      </c>
      <c r="C91" s="37" t="s">
        <v>163</v>
      </c>
      <c r="D91" s="18">
        <f>0.000001*10^-((D92-D93)/D83/0.001)</f>
        <v>3.8746751204561249E-16</v>
      </c>
      <c r="E91" s="34"/>
      <c r="F91" s="18"/>
      <c r="G91" s="18"/>
      <c r="H91" s="18"/>
      <c r="I91" s="18"/>
      <c r="J91" s="18"/>
      <c r="K91" s="34"/>
      <c r="L91" s="18"/>
      <c r="M91" s="18"/>
      <c r="N91" s="18"/>
      <c r="O91" s="18"/>
      <c r="P91" s="34"/>
      <c r="Q91" s="18"/>
      <c r="R91" s="18"/>
      <c r="S91" s="34"/>
      <c r="T91" s="18"/>
      <c r="U91" s="18"/>
      <c r="V91" s="34"/>
      <c r="W91" s="18"/>
      <c r="X91" s="18"/>
      <c r="Y91" s="18"/>
      <c r="Z91" s="18"/>
      <c r="AA91" s="34"/>
      <c r="AB91" s="18"/>
      <c r="AC91" s="18"/>
      <c r="AD91" s="18"/>
      <c r="AE91" s="34"/>
      <c r="AF91" s="18"/>
      <c r="AG91" s="18"/>
    </row>
    <row r="92" spans="2:33" x14ac:dyDescent="0.2">
      <c r="B92" s="1" t="s">
        <v>164</v>
      </c>
      <c r="C92" s="37" t="s">
        <v>165</v>
      </c>
      <c r="D92" s="18">
        <v>0</v>
      </c>
      <c r="E92" s="34"/>
      <c r="F92" s="18"/>
      <c r="G92" s="18"/>
      <c r="H92" s="18"/>
      <c r="I92" s="18"/>
      <c r="J92" s="18"/>
      <c r="K92" s="34"/>
      <c r="L92" s="18"/>
      <c r="M92" s="18"/>
      <c r="N92" s="18"/>
      <c r="O92" s="18"/>
      <c r="P92" s="34"/>
      <c r="Q92" s="18"/>
      <c r="R92" s="18"/>
      <c r="S92" s="34"/>
      <c r="T92" s="18"/>
      <c r="U92" s="18"/>
      <c r="V92" s="34"/>
      <c r="W92" s="18"/>
      <c r="X92" s="18"/>
      <c r="Y92" s="18"/>
      <c r="Z92" s="18"/>
      <c r="AA92" s="34"/>
      <c r="AB92" s="18"/>
      <c r="AC92" s="18"/>
      <c r="AD92" s="18"/>
      <c r="AE92" s="34"/>
      <c r="AF92" s="18"/>
      <c r="AG92" s="18"/>
    </row>
    <row r="93" spans="2:33" x14ac:dyDescent="0.2">
      <c r="B93" s="1" t="s">
        <v>166</v>
      </c>
      <c r="C93" s="37" t="s">
        <v>165</v>
      </c>
      <c r="D93" s="2">
        <v>-0.8</v>
      </c>
    </row>
    <row r="94" spans="2:33" x14ac:dyDescent="0.2">
      <c r="B94" s="1" t="s">
        <v>167</v>
      </c>
      <c r="C94" s="37" t="s">
        <v>168</v>
      </c>
    </row>
    <row r="95" spans="2:33" x14ac:dyDescent="0.2">
      <c r="B95" s="1" t="s">
        <v>169</v>
      </c>
      <c r="C95" s="37" t="s">
        <v>165</v>
      </c>
      <c r="D95" s="2" t="s">
        <v>170</v>
      </c>
    </row>
    <row r="96" spans="2:33" x14ac:dyDescent="0.2">
      <c r="B96" s="1" t="s">
        <v>171</v>
      </c>
      <c r="C96" s="37" t="s">
        <v>131</v>
      </c>
      <c r="D96" s="2" t="s">
        <v>172</v>
      </c>
    </row>
    <row r="97" spans="2:4" x14ac:dyDescent="0.2">
      <c r="B97" s="1" t="s">
        <v>173</v>
      </c>
      <c r="C97" s="37" t="s">
        <v>174</v>
      </c>
      <c r="D97" s="2">
        <v>1.7</v>
      </c>
    </row>
    <row r="98" spans="2:4" x14ac:dyDescent="0.2">
      <c r="B98" s="1" t="s">
        <v>175</v>
      </c>
      <c r="C98" s="37" t="s">
        <v>174</v>
      </c>
      <c r="D98" s="2">
        <v>0.5</v>
      </c>
    </row>
    <row r="99" spans="2:4" x14ac:dyDescent="0.2">
      <c r="B99" s="1" t="s">
        <v>176</v>
      </c>
      <c r="C99" s="37" t="s">
        <v>174</v>
      </c>
      <c r="D99" s="2">
        <v>1.2</v>
      </c>
    </row>
    <row r="100" spans="2:4" x14ac:dyDescent="0.2">
      <c r="B100" s="1" t="s">
        <v>177</v>
      </c>
      <c r="C100" s="37" t="s">
        <v>174</v>
      </c>
      <c r="D100" s="2">
        <v>1</v>
      </c>
    </row>
    <row r="101" spans="2:4" x14ac:dyDescent="0.2">
      <c r="B101" s="1" t="s">
        <v>178</v>
      </c>
      <c r="C101" s="37" t="s">
        <v>174</v>
      </c>
      <c r="D101" s="2">
        <v>0.5</v>
      </c>
    </row>
    <row r="102" spans="2:4" x14ac:dyDescent="0.2">
      <c r="B102" s="1" t="s">
        <v>179</v>
      </c>
      <c r="C102" s="37" t="s">
        <v>174</v>
      </c>
      <c r="D102" s="2">
        <v>0.45</v>
      </c>
    </row>
    <row r="103" spans="2:4" x14ac:dyDescent="0.2">
      <c r="B103" s="1" t="s">
        <v>180</v>
      </c>
      <c r="C103" s="37" t="s">
        <v>174</v>
      </c>
      <c r="D103" s="2">
        <f>D99-D102</f>
        <v>0.75</v>
      </c>
    </row>
    <row r="104" spans="2:4" x14ac:dyDescent="0.2">
      <c r="B104" s="1" t="s">
        <v>181</v>
      </c>
      <c r="C104" s="37" t="s">
        <v>174</v>
      </c>
      <c r="D104" s="2" t="s">
        <v>182</v>
      </c>
    </row>
    <row r="105" spans="2:4" x14ac:dyDescent="0.2">
      <c r="B105" s="1" t="s">
        <v>173</v>
      </c>
      <c r="C105" s="37" t="s">
        <v>183</v>
      </c>
      <c r="D105" s="2">
        <v>1.7</v>
      </c>
    </row>
    <row r="106" spans="2:4" x14ac:dyDescent="0.2">
      <c r="B106" s="1" t="s">
        <v>175</v>
      </c>
      <c r="C106" s="37" t="s">
        <v>183</v>
      </c>
      <c r="D106" s="2">
        <v>0</v>
      </c>
    </row>
    <row r="107" spans="2:4" x14ac:dyDescent="0.2">
      <c r="B107" s="1" t="s">
        <v>176</v>
      </c>
      <c r="C107" s="37" t="s">
        <v>183</v>
      </c>
      <c r="D107" s="2">
        <f>D105-D106</f>
        <v>1.7</v>
      </c>
    </row>
    <row r="108" spans="2:4" x14ac:dyDescent="0.2">
      <c r="B108" s="1" t="s">
        <v>177</v>
      </c>
      <c r="C108" s="37" t="s">
        <v>183</v>
      </c>
      <c r="D108" s="2">
        <v>0.5</v>
      </c>
    </row>
    <row r="109" spans="2:4" x14ac:dyDescent="0.2">
      <c r="B109" s="1" t="s">
        <v>178</v>
      </c>
      <c r="C109" s="37" t="s">
        <v>183</v>
      </c>
      <c r="D109" s="2">
        <f>D108-D106</f>
        <v>0.5</v>
      </c>
    </row>
    <row r="110" spans="2:4" x14ac:dyDescent="0.2">
      <c r="B110" s="1" t="s">
        <v>179</v>
      </c>
      <c r="C110" s="37" t="s">
        <v>183</v>
      </c>
      <c r="D110" s="2">
        <v>0.45</v>
      </c>
    </row>
    <row r="111" spans="2:4" x14ac:dyDescent="0.2">
      <c r="B111" s="1" t="s">
        <v>180</v>
      </c>
      <c r="C111" s="37" t="s">
        <v>183</v>
      </c>
      <c r="D111" s="2">
        <f>D107-D110</f>
        <v>1.25</v>
      </c>
    </row>
    <row r="112" spans="2:4" x14ac:dyDescent="0.2">
      <c r="B112" s="1" t="s">
        <v>181</v>
      </c>
      <c r="C112" s="37" t="s">
        <v>183</v>
      </c>
      <c r="D112" s="2" t="s">
        <v>182</v>
      </c>
    </row>
  </sheetData>
  <mergeCells count="11">
    <mergeCell ref="AB1:AD1"/>
    <mergeCell ref="A24:A29"/>
    <mergeCell ref="A31:A38"/>
    <mergeCell ref="A40:A45"/>
    <mergeCell ref="T1:U1"/>
    <mergeCell ref="W1:Z1"/>
    <mergeCell ref="L1:M1"/>
    <mergeCell ref="A7:A22"/>
    <mergeCell ref="N1:O1"/>
    <mergeCell ref="Q1:R1"/>
    <mergeCell ref="F1:H1"/>
  </mergeCells>
  <hyperlinks>
    <hyperlink ref="AQ2" r:id="rId1" xr:uid="{1E82E0E0-1692-9A40-84EE-BD3C85966314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F59F7-3C7F-AF4A-B387-8D3A3C313394}">
  <dimension ref="A97:P135"/>
  <sheetViews>
    <sheetView tabSelected="1" topLeftCell="A124" zoomScale="110" zoomScaleNormal="110" workbookViewId="0">
      <selection activeCell="P133" sqref="P133"/>
    </sheetView>
  </sheetViews>
  <sheetFormatPr baseColWidth="10" defaultColWidth="11" defaultRowHeight="16" x14ac:dyDescent="0.2"/>
  <sheetData>
    <row r="97" spans="1:1" x14ac:dyDescent="0.2">
      <c r="A97" s="41"/>
    </row>
    <row r="135" spans="16:16" x14ac:dyDescent="0.2">
      <c r="P135" s="4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531F709B33ED48A27ED78D53B64CDF" ma:contentTypeVersion="12" ma:contentTypeDescription="Create a new document." ma:contentTypeScope="" ma:versionID="719b66f5c5c661b43c017c9de2be2d8d">
  <xsd:schema xmlns:xsd="http://www.w3.org/2001/XMLSchema" xmlns:xs="http://www.w3.org/2001/XMLSchema" xmlns:p="http://schemas.microsoft.com/office/2006/metadata/properties" xmlns:ns2="79cdd7f5-d97b-4ec3-95ff-fa1241ac1103" xmlns:ns3="127e1a10-40b9-4e94-b424-b11f2170bfd5" targetNamespace="http://schemas.microsoft.com/office/2006/metadata/properties" ma:root="true" ma:fieldsID="c2177d7c618018cec0a14f2f69eb5631" ns2:_="" ns3:_="">
    <xsd:import namespace="79cdd7f5-d97b-4ec3-95ff-fa1241ac1103"/>
    <xsd:import namespace="127e1a10-40b9-4e94-b424-b11f2170bf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dd7f5-d97b-4ec3-95ff-fa1241ac11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e1a10-40b9-4e94-b424-b11f2170bf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0B03EA-92CB-4CCE-A99E-70B82095C5AB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127e1a10-40b9-4e94-b424-b11f2170bfd5"/>
    <ds:schemaRef ds:uri="79cdd7f5-d97b-4ec3-95ff-fa1241ac110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C185A5E-21D3-489A-8BB0-CD5A7AC54B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56248C-7355-4D1B-B4F7-8C63712BD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dd7f5-d97b-4ec3-95ff-fa1241ac1103"/>
    <ds:schemaRef ds:uri="127e1a10-40b9-4e94-b424-b11f2170b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Physical</vt:lpstr>
      <vt:lpstr>Pictorial defintion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DerChang Kau</cp:lastModifiedBy>
  <cp:revision/>
  <dcterms:created xsi:type="dcterms:W3CDTF">2021-09-01T21:06:04Z</dcterms:created>
  <dcterms:modified xsi:type="dcterms:W3CDTF">2021-09-09T06:12:19Z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0x010100AB531F709B33ED48A27ED78D53B64CDF</vt:lpwstr>
  </property>
</Properties>
</file>