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https://intel-my.sharepoint.com/personal/derchang_kau_intel_com/Documents/Technology/Memory Technology/DRAM/Cerebras/"/>
    </mc:Choice>
  </mc:AlternateContent>
  <xr:revisionPtr revIDLastSave="2641" documentId="8_{AF536A78-9C97-404A-A85C-3861628CB745}" xr6:coauthVersionLast="47" xr6:coauthVersionMax="47" xr10:uidLastSave="{333C7FC3-1078-C24B-B232-FAE7707CCEBE}"/>
  <bookViews>
    <workbookView xWindow="-3200" yWindow="-19500" windowWidth="32000" windowHeight="19500" activeTab="4" xr2:uid="{DF1772A2-D4F6-5248-85E1-012EF7725650}"/>
  </bookViews>
  <sheets>
    <sheet name="Wafer level" sheetId="1" r:id="rId1"/>
    <sheet name="Cost" sheetId="3" r:id="rId2"/>
    <sheet name="HCC" sheetId="4" r:id="rId3"/>
    <sheet name="Architecture" sheetId="2" r:id="rId4"/>
    <sheet name="adm vs. n6 sram exercise" sheetId="6" r:id="rId5"/>
    <sheet name="BMG from randy" sheetId="7" r:id="rId6"/>
    <sheet name="BMG same die size" sheetId="8" r:id="rId7"/>
    <sheet name="Note from Markus" sheetId="5" r:id="rId8"/>
    <sheet name="Sheet1" sheetId="9" r:id="rId9"/>
    <sheet name="Note from CherSian" sheetId="10" r:id="rId10"/>
  </sheets>
  <definedNames>
    <definedName name="_MailOriginal" localSheetId="7">'Note from Markus'!$A$3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6" l="1"/>
  <c r="I10" i="6"/>
  <c r="W35" i="6"/>
  <c r="X25" i="8"/>
  <c r="U37" i="8"/>
  <c r="T35" i="8"/>
  <c r="AE25" i="8"/>
  <c r="X56" i="8"/>
  <c r="T20" i="9"/>
  <c r="W48" i="9" s="1"/>
  <c r="Z48" i="9" s="1"/>
  <c r="W51" i="9"/>
  <c r="Z53" i="9"/>
  <c r="Z51" i="9"/>
  <c r="W39" i="9"/>
  <c r="W53" i="9"/>
  <c r="W52" i="9"/>
  <c r="Z52" i="9" s="1"/>
  <c r="W50" i="9"/>
  <c r="W49" i="9"/>
  <c r="W38" i="9"/>
  <c r="X50" i="9"/>
  <c r="Z50" i="9"/>
  <c r="X49" i="9"/>
  <c r="Z49" i="9"/>
  <c r="X48" i="9"/>
  <c r="Z46" i="9"/>
  <c r="Z44" i="9"/>
  <c r="Z43" i="9"/>
  <c r="Y47" i="9"/>
  <c r="Y46" i="9"/>
  <c r="X44" i="9"/>
  <c r="X43" i="9"/>
  <c r="X42" i="9"/>
  <c r="W47" i="9"/>
  <c r="Z47" i="9" s="1"/>
  <c r="W46" i="9"/>
  <c r="W45" i="9"/>
  <c r="Z45" i="9" s="1"/>
  <c r="W44" i="9"/>
  <c r="W43" i="9"/>
  <c r="W42" i="9"/>
  <c r="Z42" i="9" s="1"/>
  <c r="Y41" i="9"/>
  <c r="Y40" i="9"/>
  <c r="Y39" i="9"/>
  <c r="W41" i="9"/>
  <c r="W40" i="9"/>
  <c r="Z40" i="9" s="1"/>
  <c r="Z39" i="9"/>
  <c r="Z38" i="9"/>
  <c r="W37" i="9"/>
  <c r="Z37" i="9" s="1"/>
  <c r="W36" i="9"/>
  <c r="Z36" i="9" s="1"/>
  <c r="X37" i="9"/>
  <c r="X38" i="9"/>
  <c r="X36" i="9"/>
  <c r="Y53" i="9"/>
  <c r="Y52" i="9"/>
  <c r="Y51" i="9"/>
  <c r="Y45" i="9"/>
  <c r="V20" i="9"/>
  <c r="U20" i="9"/>
  <c r="S20" i="9"/>
  <c r="AV30" i="9"/>
  <c r="AW30" i="9" s="1"/>
  <c r="AN30" i="9"/>
  <c r="AO30" i="9" s="1"/>
  <c r="AE30" i="9"/>
  <c r="AF30" i="9" s="1"/>
  <c r="W30" i="9"/>
  <c r="X30" i="9" s="1"/>
  <c r="AV28" i="9"/>
  <c r="AW28" i="9" s="1"/>
  <c r="AN28" i="9"/>
  <c r="AO28" i="9" s="1"/>
  <c r="AE28" i="9"/>
  <c r="AF28" i="9" s="1"/>
  <c r="W28" i="9"/>
  <c r="X28" i="9" s="1"/>
  <c r="AV27" i="9"/>
  <c r="AW27" i="9" s="1"/>
  <c r="AN27" i="9"/>
  <c r="AO27" i="9" s="1"/>
  <c r="AE27" i="9"/>
  <c r="AF27" i="9" s="1"/>
  <c r="W27" i="9"/>
  <c r="X27" i="9" s="1"/>
  <c r="AV26" i="9"/>
  <c r="AW26" i="9" s="1"/>
  <c r="AN26" i="9"/>
  <c r="AO26" i="9" s="1"/>
  <c r="AE26" i="9"/>
  <c r="AF26" i="9" s="1"/>
  <c r="W26" i="9"/>
  <c r="X26" i="9" s="1"/>
  <c r="AV25" i="9"/>
  <c r="AW25" i="9" s="1"/>
  <c r="AN25" i="9"/>
  <c r="AO25" i="9" s="1"/>
  <c r="AE25" i="9"/>
  <c r="AF25" i="9" s="1"/>
  <c r="X25" i="9"/>
  <c r="S14" i="9"/>
  <c r="O14" i="9"/>
  <c r="K14" i="9"/>
  <c r="L14" i="9" s="1"/>
  <c r="S13" i="9"/>
  <c r="O13" i="9"/>
  <c r="K13" i="9"/>
  <c r="L13" i="9" s="1"/>
  <c r="S12" i="9"/>
  <c r="O12" i="9"/>
  <c r="K12" i="9"/>
  <c r="L12" i="9" s="1"/>
  <c r="E105" i="4"/>
  <c r="E106" i="4"/>
  <c r="K109" i="4"/>
  <c r="K77" i="4"/>
  <c r="J84" i="4"/>
  <c r="H77" i="4"/>
  <c r="H84" i="4"/>
  <c r="I109" i="4"/>
  <c r="I118" i="4"/>
  <c r="F118" i="4"/>
  <c r="E84" i="4"/>
  <c r="H118" i="4"/>
  <c r="K118" i="4"/>
  <c r="E118" i="4"/>
  <c r="J118" i="4"/>
  <c r="G118" i="4"/>
  <c r="D118" i="4"/>
  <c r="C118" i="4"/>
  <c r="H116" i="4"/>
  <c r="F116" i="4"/>
  <c r="E117" i="4"/>
  <c r="E116" i="4"/>
  <c r="C116" i="4"/>
  <c r="C115" i="4"/>
  <c r="H108" i="4"/>
  <c r="H117" i="4" s="1"/>
  <c r="H107" i="4"/>
  <c r="I106" i="4"/>
  <c r="H106" i="4"/>
  <c r="H115" i="4" s="1"/>
  <c r="G106" i="4"/>
  <c r="H105" i="4"/>
  <c r="H114" i="4" s="1"/>
  <c r="E108" i="4"/>
  <c r="E107" i="4"/>
  <c r="E115" i="4" s="1"/>
  <c r="E114" i="4"/>
  <c r="F108" i="4"/>
  <c r="F117" i="4" s="1"/>
  <c r="D108" i="4"/>
  <c r="D117" i="4" s="1"/>
  <c r="C108" i="4"/>
  <c r="C117" i="4" s="1"/>
  <c r="F107" i="4"/>
  <c r="D107" i="4"/>
  <c r="D116" i="4" s="1"/>
  <c r="C107" i="4"/>
  <c r="F106" i="4"/>
  <c r="F115" i="4" s="1"/>
  <c r="D106" i="4"/>
  <c r="D115" i="4" s="1"/>
  <c r="C106" i="4"/>
  <c r="F105" i="4"/>
  <c r="F114" i="4" s="1"/>
  <c r="D105" i="4"/>
  <c r="D114" i="4" s="1"/>
  <c r="C105" i="4"/>
  <c r="C114" i="4" s="1"/>
  <c r="O94" i="4"/>
  <c r="I108" i="4" s="1"/>
  <c r="I117" i="4" s="1"/>
  <c r="L94" i="4"/>
  <c r="Q94" i="4" s="1"/>
  <c r="I94" i="4"/>
  <c r="P94" i="4" s="1"/>
  <c r="F99" i="4"/>
  <c r="I99" i="4" s="1"/>
  <c r="D99" i="4"/>
  <c r="J99" i="4" s="1"/>
  <c r="O93" i="4"/>
  <c r="I107" i="4" s="1"/>
  <c r="I116" i="4" s="1"/>
  <c r="L93" i="4"/>
  <c r="Q93" i="4" s="1"/>
  <c r="I93" i="4"/>
  <c r="M93" i="4" s="1"/>
  <c r="G107" i="4" s="1"/>
  <c r="O92" i="4"/>
  <c r="L92" i="4"/>
  <c r="Q92" i="4" s="1"/>
  <c r="I92" i="4"/>
  <c r="M92" i="4" s="1"/>
  <c r="O91" i="4"/>
  <c r="I105" i="4" s="1"/>
  <c r="L91" i="4"/>
  <c r="Q91" i="4" s="1"/>
  <c r="I91" i="4"/>
  <c r="M91" i="4" s="1"/>
  <c r="G105" i="4" s="1"/>
  <c r="M76" i="4"/>
  <c r="N76" i="4" s="1"/>
  <c r="M75" i="4"/>
  <c r="N75" i="4" s="1"/>
  <c r="M74" i="4"/>
  <c r="N74" i="4" s="1"/>
  <c r="AW30" i="8"/>
  <c r="AW28" i="8"/>
  <c r="AW26" i="8"/>
  <c r="AN30" i="8"/>
  <c r="AO30" i="8" s="1"/>
  <c r="AV30" i="8"/>
  <c r="AV28" i="8"/>
  <c r="AV26" i="8"/>
  <c r="AV27" i="8"/>
  <c r="AW27" i="8" s="1"/>
  <c r="AV25" i="8"/>
  <c r="AW25" i="8" s="1"/>
  <c r="AN26" i="8"/>
  <c r="AO26" i="8" s="1"/>
  <c r="AN28" i="8"/>
  <c r="AO28" i="8" s="1"/>
  <c r="AN27" i="8"/>
  <c r="AO27" i="8" s="1"/>
  <c r="AN25" i="8"/>
  <c r="AO25" i="8" s="1"/>
  <c r="P14" i="8"/>
  <c r="N14" i="8"/>
  <c r="O14" i="8"/>
  <c r="Z41" i="9" l="1"/>
  <c r="P13" i="9"/>
  <c r="N13" i="9" s="1"/>
  <c r="T13" i="9"/>
  <c r="R13" i="9" s="1"/>
  <c r="P12" i="9"/>
  <c r="N12" i="9" s="1"/>
  <c r="T12" i="9"/>
  <c r="R12" i="9" s="1"/>
  <c r="T14" i="9"/>
  <c r="R14" i="9" s="1"/>
  <c r="P14" i="9"/>
  <c r="N14" i="9" s="1"/>
  <c r="I115" i="4"/>
  <c r="I114" i="4"/>
  <c r="G115" i="4"/>
  <c r="G114" i="4"/>
  <c r="G116" i="4"/>
  <c r="G117" i="4"/>
  <c r="R92" i="4"/>
  <c r="J106" i="4" s="1"/>
  <c r="P92" i="4"/>
  <c r="S92" i="4" s="1"/>
  <c r="K106" i="4" s="1"/>
  <c r="S94" i="4"/>
  <c r="K108" i="4" s="1"/>
  <c r="R94" i="4"/>
  <c r="J108" i="4" s="1"/>
  <c r="M94" i="4"/>
  <c r="G108" i="4" s="1"/>
  <c r="P91" i="4"/>
  <c r="S91" i="4" s="1"/>
  <c r="K105" i="4" s="1"/>
  <c r="K114" i="4" s="1"/>
  <c r="R91" i="4"/>
  <c r="J105" i="4" s="1"/>
  <c r="R93" i="4"/>
  <c r="J107" i="4" s="1"/>
  <c r="P93" i="4"/>
  <c r="S93" i="4" s="1"/>
  <c r="K107" i="4" s="1"/>
  <c r="T14" i="8"/>
  <c r="T13" i="8"/>
  <c r="R13" i="8" s="1"/>
  <c r="T12" i="8"/>
  <c r="R12" i="8" s="1"/>
  <c r="P12" i="8"/>
  <c r="S14" i="8"/>
  <c r="S13" i="8"/>
  <c r="S12" i="8"/>
  <c r="S55" i="8"/>
  <c r="S54" i="8"/>
  <c r="AE49" i="8"/>
  <c r="AD49" i="8"/>
  <c r="AE47" i="8"/>
  <c r="AD47" i="8"/>
  <c r="AE45" i="8"/>
  <c r="AD45" i="8"/>
  <c r="AE44" i="8"/>
  <c r="AD44" i="8"/>
  <c r="R44" i="8"/>
  <c r="AE43" i="8"/>
  <c r="AD43" i="8"/>
  <c r="AE42" i="8"/>
  <c r="AD42" i="8"/>
  <c r="AE41" i="8"/>
  <c r="AD41" i="8"/>
  <c r="AE40" i="8"/>
  <c r="AD40" i="8"/>
  <c r="Y35" i="8"/>
  <c r="AC32" i="8"/>
  <c r="AE30" i="8"/>
  <c r="AF30" i="8" s="1"/>
  <c r="W30" i="8"/>
  <c r="X30" i="8" s="1"/>
  <c r="AE28" i="8"/>
  <c r="AF28" i="8" s="1"/>
  <c r="W28" i="8"/>
  <c r="X28" i="8" s="1"/>
  <c r="AE27" i="8"/>
  <c r="AF27" i="8" s="1"/>
  <c r="W27" i="8"/>
  <c r="X27" i="8" s="1"/>
  <c r="AE26" i="8"/>
  <c r="AF26" i="8" s="1"/>
  <c r="W26" i="8"/>
  <c r="X26" i="8" s="1"/>
  <c r="AF25" i="8"/>
  <c r="W25" i="8"/>
  <c r="K14" i="8"/>
  <c r="L14" i="8" s="1"/>
  <c r="O13" i="8"/>
  <c r="K13" i="8"/>
  <c r="L13" i="8" s="1"/>
  <c r="P13" i="8" s="1"/>
  <c r="O12" i="8"/>
  <c r="K12" i="8"/>
  <c r="L12" i="8" s="1"/>
  <c r="V35" i="7"/>
  <c r="AF30" i="7"/>
  <c r="AF28" i="7"/>
  <c r="AF27" i="7"/>
  <c r="AF26" i="7"/>
  <c r="AC32" i="7"/>
  <c r="AD40" i="7"/>
  <c r="AE49" i="7"/>
  <c r="AE47" i="7"/>
  <c r="AE45" i="7"/>
  <c r="AE43" i="7"/>
  <c r="AE42" i="7"/>
  <c r="AE41" i="7"/>
  <c r="AE40" i="7"/>
  <c r="X56" i="7"/>
  <c r="X54" i="7"/>
  <c r="P14" i="7"/>
  <c r="L13" i="7"/>
  <c r="L12" i="7"/>
  <c r="K14" i="7"/>
  <c r="L14" i="7" s="1"/>
  <c r="K13" i="7"/>
  <c r="K12" i="7"/>
  <c r="O14" i="7"/>
  <c r="P13" i="7"/>
  <c r="O13" i="7"/>
  <c r="P12" i="7"/>
  <c r="N12" i="7" s="1"/>
  <c r="O12" i="7"/>
  <c r="K117" i="4" l="1"/>
  <c r="K115" i="4"/>
  <c r="K116" i="4"/>
  <c r="J117" i="4"/>
  <c r="J114" i="4"/>
  <c r="J115" i="4"/>
  <c r="J116" i="4"/>
  <c r="R14" i="8"/>
  <c r="T56" i="8"/>
  <c r="X54" i="8" s="1"/>
  <c r="AD54" i="8" s="1"/>
  <c r="Z35" i="8"/>
  <c r="N12" i="8"/>
  <c r="N13" i="8"/>
  <c r="N14" i="7"/>
  <c r="N13" i="7"/>
  <c r="AD49" i="7"/>
  <c r="AE30" i="7"/>
  <c r="AE28" i="7"/>
  <c r="AE27" i="7"/>
  <c r="AE26" i="7"/>
  <c r="AE25" i="7"/>
  <c r="AF25" i="7" s="1"/>
  <c r="AE44" i="7"/>
  <c r="S55" i="7"/>
  <c r="S54" i="7"/>
  <c r="W30" i="7"/>
  <c r="X30" i="7" s="1"/>
  <c r="AD47" i="7"/>
  <c r="AD45" i="7"/>
  <c r="AD44" i="7"/>
  <c r="AD43" i="7"/>
  <c r="AD42" i="7"/>
  <c r="AD41" i="7"/>
  <c r="T56" i="7"/>
  <c r="R44" i="7"/>
  <c r="Y35" i="7"/>
  <c r="T35" i="7"/>
  <c r="W28" i="7"/>
  <c r="X28" i="7" s="1"/>
  <c r="W27" i="7"/>
  <c r="X27" i="7" s="1"/>
  <c r="W26" i="7"/>
  <c r="X26" i="7" s="1"/>
  <c r="W25" i="7"/>
  <c r="X25" i="7" s="1"/>
  <c r="AD54" i="7" l="1"/>
  <c r="Z35" i="7"/>
  <c r="B59" i="6" l="1"/>
  <c r="N35" i="6"/>
  <c r="T35" i="6" s="1"/>
  <c r="N32" i="6"/>
  <c r="T32" i="6" s="1"/>
  <c r="R35" i="6"/>
  <c r="S35" i="6" s="1"/>
  <c r="P35" i="6"/>
  <c r="Q35" i="6" s="1"/>
  <c r="I35" i="6"/>
  <c r="K35" i="6" s="1"/>
  <c r="R34" i="6"/>
  <c r="S34" i="6" s="1"/>
  <c r="P34" i="6"/>
  <c r="Q34" i="6" s="1"/>
  <c r="N34" i="6"/>
  <c r="T34" i="6" s="1"/>
  <c r="I34" i="6"/>
  <c r="K34" i="6" s="1"/>
  <c r="N36" i="6"/>
  <c r="T36" i="6" s="1"/>
  <c r="I33" i="6"/>
  <c r="K33" i="6" s="1"/>
  <c r="I32" i="6"/>
  <c r="K32" i="6" s="1"/>
  <c r="F41" i="6" s="1"/>
  <c r="I41" i="6" s="1"/>
  <c r="D41" i="6"/>
  <c r="P36" i="6"/>
  <c r="Q36" i="6" s="1"/>
  <c r="R36" i="6"/>
  <c r="S36" i="6" s="1"/>
  <c r="P33" i="6"/>
  <c r="Q33" i="6" s="1"/>
  <c r="N33" i="6"/>
  <c r="T33" i="6" s="1"/>
  <c r="U33" i="6" s="1"/>
  <c r="R33" i="6"/>
  <c r="S33" i="6" s="1"/>
  <c r="P32" i="6"/>
  <c r="Q32" i="6" s="1"/>
  <c r="D10" i="6"/>
  <c r="O5" i="6"/>
  <c r="L5" i="6"/>
  <c r="R5" i="6" s="1"/>
  <c r="I5" i="6"/>
  <c r="M5" i="6" s="1"/>
  <c r="O4" i="6"/>
  <c r="L4" i="6"/>
  <c r="R4" i="6" s="1"/>
  <c r="I4" i="6"/>
  <c r="M4" i="6" s="1"/>
  <c r="O3" i="6"/>
  <c r="L3" i="6"/>
  <c r="R3" i="6" s="1"/>
  <c r="I3" i="6"/>
  <c r="M3" i="6" s="1"/>
  <c r="K84" i="4"/>
  <c r="I84" i="4"/>
  <c r="G84" i="4"/>
  <c r="F84" i="4"/>
  <c r="D84" i="4"/>
  <c r="D81" i="4"/>
  <c r="E81" i="4"/>
  <c r="F81" i="4"/>
  <c r="G81" i="4"/>
  <c r="H81" i="4"/>
  <c r="I81" i="4"/>
  <c r="J81" i="4"/>
  <c r="K81" i="4"/>
  <c r="K82" i="4"/>
  <c r="J82" i="4"/>
  <c r="I82" i="4"/>
  <c r="H82" i="4"/>
  <c r="G82" i="4"/>
  <c r="F82" i="4"/>
  <c r="E82" i="4"/>
  <c r="K83" i="4"/>
  <c r="J83" i="4"/>
  <c r="I83" i="4"/>
  <c r="H83" i="4"/>
  <c r="G83" i="4"/>
  <c r="F83" i="4"/>
  <c r="E83" i="4"/>
  <c r="D82" i="4"/>
  <c r="D83" i="4"/>
  <c r="O54" i="4"/>
  <c r="F61" i="4"/>
  <c r="I61" i="4" s="1"/>
  <c r="D61" i="4"/>
  <c r="O56" i="4"/>
  <c r="L56" i="4"/>
  <c r="Q56" i="4" s="1"/>
  <c r="I56" i="4"/>
  <c r="M56" i="4" s="1"/>
  <c r="O55" i="4"/>
  <c r="L55" i="4"/>
  <c r="Q55" i="4" s="1"/>
  <c r="I55" i="4"/>
  <c r="M55" i="4" s="1"/>
  <c r="L54" i="4"/>
  <c r="Q54" i="4" s="1"/>
  <c r="I54" i="4"/>
  <c r="M54" i="4" s="1"/>
  <c r="V36" i="6" l="1"/>
  <c r="U36" i="6"/>
  <c r="V34" i="6"/>
  <c r="U34" i="6"/>
  <c r="V35" i="6"/>
  <c r="U35" i="6"/>
  <c r="U32" i="6"/>
  <c r="J41" i="6"/>
  <c r="T4" i="6"/>
  <c r="T5" i="6"/>
  <c r="T3" i="6"/>
  <c r="V33" i="6"/>
  <c r="P3" i="6"/>
  <c r="U3" i="6" s="1"/>
  <c r="P4" i="6"/>
  <c r="U4" i="6" s="1"/>
  <c r="P5" i="6"/>
  <c r="U5" i="6" s="1"/>
  <c r="P56" i="4"/>
  <c r="S56" i="4" s="1"/>
  <c r="P55" i="4"/>
  <c r="S55" i="4" s="1"/>
  <c r="P54" i="4"/>
  <c r="S54" i="4" s="1"/>
  <c r="J61" i="4"/>
  <c r="R54" i="4"/>
  <c r="R55" i="4"/>
  <c r="R56" i="4"/>
  <c r="F39" i="4" l="1"/>
  <c r="I39" i="4" s="1"/>
  <c r="D39" i="4"/>
  <c r="O34" i="4"/>
  <c r="L34" i="4"/>
  <c r="Q34" i="4" s="1"/>
  <c r="I34" i="4"/>
  <c r="Q33" i="4"/>
  <c r="P33" i="4"/>
  <c r="O33" i="4"/>
  <c r="L33" i="4"/>
  <c r="I33" i="4"/>
  <c r="M33" i="4" s="1"/>
  <c r="O32" i="4"/>
  <c r="L32" i="4"/>
  <c r="Q32" i="4" s="1"/>
  <c r="I32" i="4"/>
  <c r="M32" i="4" s="1"/>
  <c r="J39" i="4" l="1"/>
  <c r="R34" i="4"/>
  <c r="R32" i="4"/>
  <c r="P32" i="4"/>
  <c r="S32" i="4" s="1"/>
  <c r="M34" i="4"/>
  <c r="P34" i="4"/>
  <c r="S34" i="4" s="1"/>
  <c r="S33" i="4"/>
  <c r="R33" i="4"/>
  <c r="O5" i="4"/>
  <c r="L5" i="4"/>
  <c r="Q5" i="4" s="1"/>
  <c r="I5" i="4"/>
  <c r="P5" i="4" s="1"/>
  <c r="O4" i="4"/>
  <c r="L4" i="4"/>
  <c r="Q4" i="4" s="1"/>
  <c r="I4" i="4"/>
  <c r="P4" i="4" s="1"/>
  <c r="O3" i="4"/>
  <c r="L3" i="4"/>
  <c r="Q3" i="4" s="1"/>
  <c r="I3" i="4"/>
  <c r="P3" i="4" s="1"/>
  <c r="I10" i="4"/>
  <c r="D10" i="4"/>
  <c r="F12" i="1"/>
  <c r="F11" i="1"/>
  <c r="F10" i="1"/>
  <c r="G12" i="1"/>
  <c r="G11" i="1"/>
  <c r="G10" i="1"/>
  <c r="E11" i="1"/>
  <c r="C11" i="1"/>
  <c r="J20" i="2"/>
  <c r="D4" i="2"/>
  <c r="D18" i="2"/>
  <c r="D13" i="2"/>
  <c r="C25" i="1"/>
  <c r="C24" i="1" s="1"/>
  <c r="D20" i="1"/>
  <c r="D17" i="1"/>
  <c r="C18" i="1" s="1"/>
  <c r="C19" i="1" s="1"/>
  <c r="C8" i="1"/>
  <c r="C6" i="1"/>
  <c r="D6" i="1" s="1"/>
  <c r="S3" i="4" l="1"/>
  <c r="R3" i="4"/>
  <c r="S4" i="4"/>
  <c r="R4" i="4"/>
  <c r="S5" i="4"/>
  <c r="R5" i="4"/>
  <c r="M4" i="4"/>
  <c r="M3" i="4"/>
  <c r="M5" i="4"/>
  <c r="J10" i="4"/>
  <c r="C7" i="1"/>
  <c r="D4" i="1"/>
  <c r="D9" i="1" s="1"/>
  <c r="C12" i="1" s="1"/>
  <c r="E6" i="1"/>
  <c r="E4" i="1" s="1"/>
  <c r="E9" i="1" s="1"/>
  <c r="E12" i="1" s="1"/>
  <c r="C26" i="1"/>
  <c r="D14" i="2" s="1"/>
  <c r="D19" i="2" s="1"/>
  <c r="C27" i="1"/>
  <c r="C21" i="1"/>
  <c r="D27" i="1" l="1"/>
  <c r="D15" i="2"/>
  <c r="D20" i="2" s="1"/>
  <c r="C23" i="1"/>
  <c r="C22" i="1"/>
  <c r="C31" i="1"/>
  <c r="D26" i="1"/>
  <c r="C28" i="1"/>
  <c r="C32" i="1" l="1"/>
  <c r="R32" i="6" l="1"/>
  <c r="I36" i="6"/>
  <c r="K36" i="6" s="1"/>
  <c r="V32" i="6" l="1"/>
  <c r="S32" i="6"/>
</calcChain>
</file>

<file path=xl/sharedStrings.xml><?xml version="1.0" encoding="utf-8"?>
<sst xmlns="http://schemas.openxmlformats.org/spreadsheetml/2006/main" count="966" uniqueCount="226">
  <si>
    <t>Cerebras CS-2</t>
  </si>
  <si>
    <t>ADM G2</t>
  </si>
  <si>
    <t>Technology</t>
  </si>
  <si>
    <t>TSMC 7nm</t>
  </si>
  <si>
    <t>Hynix 1z</t>
  </si>
  <si>
    <t>P1222.7</t>
  </si>
  <si>
    <t>Die size</t>
  </si>
  <si>
    <t>Memory Capacity</t>
  </si>
  <si>
    <t>GB</t>
  </si>
  <si>
    <t>Memory Density</t>
  </si>
  <si>
    <r>
      <t>MB/mm</t>
    </r>
    <r>
      <rPr>
        <vertAlign val="superscript"/>
        <sz val="12"/>
        <color theme="1"/>
        <rFont val="Calibri (Body)"/>
      </rPr>
      <t>2</t>
    </r>
  </si>
  <si>
    <t>Memory footprint</t>
  </si>
  <si>
    <r>
      <t>mm</t>
    </r>
    <r>
      <rPr>
        <vertAlign val="superscript"/>
        <sz val="12"/>
        <color theme="1"/>
        <rFont val="Calibri (Body)"/>
      </rPr>
      <t>2</t>
    </r>
  </si>
  <si>
    <t>Si Ultilization</t>
  </si>
  <si>
    <t>%</t>
  </si>
  <si>
    <t>Bandwidth Density</t>
  </si>
  <si>
    <t>TB/(s·GB)</t>
  </si>
  <si>
    <t>Bandwidth</t>
  </si>
  <si>
    <t>PB/s</t>
  </si>
  <si>
    <t>(HBM3)</t>
  </si>
  <si>
    <t>CS2 silicon usagee</t>
  </si>
  <si>
    <t>12 in wafer size</t>
  </si>
  <si>
    <t xml:space="preserve">usable full reticle </t>
  </si>
  <si>
    <t>max square size</t>
  </si>
  <si>
    <t>mm</t>
  </si>
  <si>
    <t>max printable area</t>
  </si>
  <si>
    <t>Exclusion ring</t>
  </si>
  <si>
    <t>max useable size</t>
  </si>
  <si>
    <t>max useable area</t>
  </si>
  <si>
    <t>reticle x</t>
  </si>
  <si>
    <t>reticle y</t>
  </si>
  <si>
    <t>reticle area</t>
  </si>
  <si>
    <t>Die size from slide 10</t>
  </si>
  <si>
    <t>scribe width</t>
  </si>
  <si>
    <t>calcuated die size</t>
  </si>
  <si>
    <t>scribe efficiency</t>
  </si>
  <si>
    <t xml:space="preserve">Core </t>
  </si>
  <si>
    <t>Area</t>
  </si>
  <si>
    <t>x-size</t>
  </si>
  <si>
    <t>y-size</t>
  </si>
  <si>
    <t># x-tile</t>
  </si>
  <si>
    <t>#-y-tile</t>
  </si>
  <si>
    <t>unity</t>
  </si>
  <si>
    <t>tile</t>
  </si>
  <si>
    <t>x-szie</t>
  </si>
  <si>
    <t>µm</t>
  </si>
  <si>
    <t>SRAM capacity</t>
  </si>
  <si>
    <t>wafer</t>
  </si>
  <si>
    <t># row</t>
  </si>
  <si>
    <t># of col</t>
  </si>
  <si>
    <t># of cores</t>
  </si>
  <si>
    <t>HBM3</t>
  </si>
  <si>
    <t>Norm. GB/$</t>
  </si>
  <si>
    <t>Norm. BW/$</t>
  </si>
  <si>
    <t>Norm. Wafer Price</t>
  </si>
  <si>
    <t>Availability</t>
  </si>
  <si>
    <r>
      <t>[MB/mm</t>
    </r>
    <r>
      <rPr>
        <vertAlign val="superscript"/>
        <sz val="16"/>
        <color rgb="FF000000"/>
        <rFont val="Calibri"/>
        <family val="2"/>
      </rPr>
      <t>2</t>
    </r>
    <r>
      <rPr>
        <sz val="16"/>
        <color rgb="FF000000"/>
        <rFont val="Calibri"/>
        <family val="2"/>
      </rPr>
      <t>]</t>
    </r>
  </si>
  <si>
    <t>[TB/(s·GB)]</t>
  </si>
  <si>
    <t>Norm. $/wfr</t>
  </si>
  <si>
    <t>References</t>
  </si>
  <si>
    <t>TSMC N7</t>
  </si>
  <si>
    <t>Cerebras CS2 Analysis, WW03/22, DeBonis</t>
  </si>
  <si>
    <t>2024?</t>
  </si>
  <si>
    <t>TCC Benchmark, Jan/25/22, Hamzaoglu</t>
  </si>
  <si>
    <t>SKH 1z 16Gb HBM3, Feb/7/22, Bains</t>
  </si>
  <si>
    <t>TSMC N6</t>
  </si>
  <si>
    <r>
      <t>Eff</t>
    </r>
    <r>
      <rPr>
        <vertAlign val="subscript"/>
        <sz val="16"/>
        <color rgb="FF000000"/>
        <rFont val="Calibri"/>
        <family val="2"/>
      </rPr>
      <t>array</t>
    </r>
  </si>
  <si>
    <r>
      <t>Size</t>
    </r>
    <r>
      <rPr>
        <vertAlign val="subscript"/>
        <sz val="16"/>
        <color rgb="FF000000"/>
        <rFont val="Calibri"/>
        <family val="2"/>
      </rPr>
      <t>cell</t>
    </r>
    <r>
      <rPr>
        <sz val="16"/>
        <color rgb="FF000000"/>
        <rFont val="Calibri"/>
        <family val="2"/>
      </rPr>
      <t>[µm</t>
    </r>
    <r>
      <rPr>
        <vertAlign val="superscript"/>
        <sz val="16"/>
        <color rgb="FF000000"/>
        <rFont val="Calibri"/>
        <family val="2"/>
      </rPr>
      <t>2</t>
    </r>
    <r>
      <rPr>
        <sz val="16"/>
        <color rgb="FF000000"/>
        <rFont val="Calibri"/>
        <family val="2"/>
      </rPr>
      <t>]</t>
    </r>
  </si>
  <si>
    <t>$/wfr</t>
  </si>
  <si>
    <r>
      <t>[MB/mm</t>
    </r>
    <r>
      <rPr>
        <vertAlign val="superscript"/>
        <sz val="16"/>
        <color rgb="FF000000"/>
        <rFont val="Calibri (Body)"/>
      </rPr>
      <t>2</t>
    </r>
    <r>
      <rPr>
        <sz val="16"/>
        <color rgb="FF000000"/>
        <rFont val="Calibri"/>
        <family val="2"/>
        <scheme val="minor"/>
      </rPr>
      <t>]</t>
    </r>
  </si>
  <si>
    <t>$/GB</t>
  </si>
  <si>
    <t>$/[TB/s]</t>
  </si>
  <si>
    <t>[pJ/bit]</t>
  </si>
  <si>
    <t>[(TB/s)/Watt]</t>
  </si>
  <si>
    <t>wafer diameter</t>
  </si>
  <si>
    <t>die-x</t>
  </si>
  <si>
    <t>die-y</t>
  </si>
  <si>
    <t>scribe x</t>
  </si>
  <si>
    <t>scribe y</t>
  </si>
  <si>
    <t>die size</t>
  </si>
  <si>
    <t>die per wafer</t>
  </si>
  <si>
    <t>#</t>
  </si>
  <si>
    <r>
      <t>Size</t>
    </r>
    <r>
      <rPr>
        <vertAlign val="subscript"/>
        <sz val="16"/>
        <color rgb="FF000000"/>
        <rFont val="Calibri"/>
        <family val="2"/>
      </rPr>
      <t>die</t>
    </r>
    <r>
      <rPr>
        <sz val="16"/>
        <color rgb="FF000000"/>
        <rFont val="Calibri"/>
        <family val="2"/>
      </rPr>
      <t xml:space="preserve"> [mm</t>
    </r>
    <r>
      <rPr>
        <vertAlign val="superscript"/>
        <sz val="16"/>
        <color rgb="FF000000"/>
        <rFont val="Calibri"/>
        <family val="2"/>
      </rPr>
      <t>2</t>
    </r>
    <r>
      <rPr>
        <sz val="16"/>
        <color rgb="FF000000"/>
        <rFont val="Calibri"/>
        <family val="2"/>
      </rPr>
      <t>]</t>
    </r>
  </si>
  <si>
    <t>Die/wafer</t>
  </si>
  <si>
    <r>
      <t>Die</t>
    </r>
    <r>
      <rPr>
        <vertAlign val="subscript"/>
        <sz val="16"/>
        <color rgb="FF000000"/>
        <rFont val="Calibri (Body)"/>
      </rPr>
      <t>yield</t>
    </r>
    <r>
      <rPr>
        <sz val="16"/>
        <color rgb="FF000000"/>
        <rFont val="Calibri"/>
        <family val="2"/>
        <scheme val="minor"/>
      </rPr>
      <t>/wfr</t>
    </r>
  </si>
  <si>
    <t>Yield</t>
  </si>
  <si>
    <t>Capacity [Mb]</t>
  </si>
  <si>
    <t>TB/s/die</t>
  </si>
  <si>
    <t>$/Die</t>
  </si>
  <si>
    <t>TSMC N6 (d)</t>
  </si>
  <si>
    <t>usable diameter</t>
  </si>
  <si>
    <t>From: "Kau, Derchang" &lt;derchang.kau@intel.com&gt;
Date: Wednesday, March 2, 2022 at 14:34
To: "Andersen, Markus T" &lt;markus.t.andersen@intel.com&gt;
Cc: "Dai, Changhong" &lt;changhong.dai@intel.com&gt;, "Juwara, Lamin A" &lt;lamin.a.juwara@intel.com&gt;
Subject: Re: N6 for P1222.6
Hi Markus.
Thank you for the quick response and the past discussion.
Yes, I am seeking a combination of #2 and #4.   HBM doesn’t have sufficient bandwidth. It requires very high capacity to meet capability of ADM.    SRAM on the other hand has big advantage on BW/$.  N6 with SoIC is a perfect candidates to replace FOV10+DRAM.   We can talk a bit more later this afternoon.  Thanks again for the reference material.
/DerChang</t>
  </si>
  <si>
    <t>From: "Andersen, Markus T" &lt;markus.t.andersen@intel.com&gt;
Date: Wednesday, March 2, 2022 at 13:51
To: "Kau, Derchang" &lt;derchang.kau@intel.com&gt;
Cc: "Dai, Changhong" &lt;changhong.dai@intel.com&gt;, "Juwara, Lamin A" &lt;lamin.a.juwara@intel.com&gt;
Subject: RE: N6 for P1222.6
Hi Derchang,
Based on the last LRP gold doc (done in Q3 of 2021) the wafer cost for Adm. is $7-8K/wafer in H2’23 to 2024.  In 2025 it drops to $4-5K/wafer.  
I did talk to Rob Topol, the AXG controller in my 1:1 today.  I know they have looked at alternatives of doing an integrated package with high-bandwidth memory, but their prior studies highlighted the performance barriers.  But now with the capacity constraints I think they will be more open to find a creative solution.  In my mind there are a few options to help solve this problem:
1)	Find an HBM Embedded Option – In past this didn’t work due to the loss in performance vs. ADM
2)	Add SRAM/DRAM on die and make it on N6 – I think this is what you are looking at, key benefit is we have capacity in short term
3)	Find a packaging solution that enables HBM without the speed loss – Maybe a better packaging alternative like TSV / 2.5/2.7 that doesn’t show performance rather than traditional embedded options they were considering.
4)	Enable a SOIC/Multichip option – Rob mentioned something about a pilot product called Falcon Shores that is doing more of a multi-chip package, but concept would be to do a GPU but add in an accelerator and memory.  Potentially the accelerator could get more performance to offset the drop of ADM to HBM.  
Is that sufficient for what you need?  
Thanks, Markus</t>
  </si>
  <si>
    <t xml:space="preserve">From: Kau, Derchang &lt;derchang.kau@intel.com&gt; 
Sent: Wednesday, March 2, 2022 2:25 PM
To: Andersen, Markus T &lt;markus.t.andersen@intel.com&gt;
Cc: Dai, Changhong &lt;changhong.dai@intel.com&gt;
Subject: Re: N6 for P1222.6
Hi Markus,
Changhong, Chee How and I are developing a risk mitigation plan and contingency to P1222.6 capacity shortfall.   The first intercept will be Battlemage.   There are capable solutions from TSMC, specially with N6 allocations.   Cost to Battlemage is yet to be analyzed.  I am seeking for your help on P1222.6 wafer costs to complete this analysis.  Can we meet briefly today, say 15 minutes to go over the numbers?  Sorry for the short notice due to Battlemage’s tape-in less than 3 quarters away.  I will send you an OCM placeholder and please let me know the alternative if it doesn’t work for you.
Thanks,
/DerChang     </t>
  </si>
  <si>
    <t>P1222.6</t>
  </si>
  <si>
    <t>HBM3 (1z)</t>
  </si>
  <si>
    <t>[(TB/s)·GB]</t>
  </si>
  <si>
    <t>TSMC N6 13ML</t>
  </si>
  <si>
    <t>Capacity [MB]</t>
  </si>
  <si>
    <r>
      <t>Size</t>
    </r>
    <r>
      <rPr>
        <vertAlign val="subscript"/>
        <sz val="16"/>
        <color rgb="FF000000"/>
        <rFont val="Calibri"/>
        <family val="2"/>
      </rPr>
      <t>mem</t>
    </r>
    <r>
      <rPr>
        <sz val="16"/>
        <color rgb="FF000000"/>
        <rFont val="Calibri"/>
        <family val="2"/>
      </rPr>
      <t xml:space="preserve"> [mm</t>
    </r>
    <r>
      <rPr>
        <vertAlign val="superscript"/>
        <sz val="16"/>
        <color rgb="FF000000"/>
        <rFont val="Calibri"/>
        <family val="2"/>
      </rPr>
      <t>2</t>
    </r>
    <r>
      <rPr>
        <sz val="16"/>
        <color rgb="FF000000"/>
        <rFont val="Calibri"/>
        <family val="2"/>
      </rPr>
      <t>]</t>
    </r>
  </si>
  <si>
    <r>
      <t>Size</t>
    </r>
    <r>
      <rPr>
        <vertAlign val="subscript"/>
        <sz val="16"/>
        <color rgb="FF000000"/>
        <rFont val="Calibri"/>
        <family val="2"/>
      </rPr>
      <t>peri</t>
    </r>
    <r>
      <rPr>
        <sz val="16"/>
        <color rgb="FF000000"/>
        <rFont val="Calibri"/>
        <family val="2"/>
      </rPr>
      <t xml:space="preserve"> [mm</t>
    </r>
    <r>
      <rPr>
        <vertAlign val="superscript"/>
        <sz val="16"/>
        <color rgb="FF000000"/>
        <rFont val="Calibri"/>
        <family val="2"/>
      </rPr>
      <t>2</t>
    </r>
    <r>
      <rPr>
        <sz val="16"/>
        <color rgb="FF000000"/>
        <rFont val="Calibri"/>
        <family val="2"/>
      </rPr>
      <t>]</t>
    </r>
  </si>
  <si>
    <t>TSMC N6   9ML</t>
  </si>
  <si>
    <t>Metal Layer</t>
  </si>
  <si>
    <t>Printed DPW</t>
  </si>
  <si>
    <t>2023 Projected Sort Yield%</t>
  </si>
  <si>
    <t>Good DPW</t>
  </si>
  <si>
    <t>13ML</t>
  </si>
  <si>
    <t>9ML</t>
  </si>
  <si>
    <t>DNW, MiM</t>
  </si>
  <si>
    <t>Included</t>
  </si>
  <si>
    <t>defeatured</t>
  </si>
  <si>
    <r>
      <t>Total Area mm</t>
    </r>
    <r>
      <rPr>
        <b/>
        <vertAlign val="superscript"/>
        <sz val="16"/>
        <color rgb="FF000000"/>
        <rFont val="Calibri (Body)"/>
      </rPr>
      <t>2</t>
    </r>
  </si>
  <si>
    <r>
      <t>SRAM Area mm</t>
    </r>
    <r>
      <rPr>
        <b/>
        <vertAlign val="superscript"/>
        <sz val="16"/>
        <color rgb="FF000000"/>
        <rFont val="Calibri (Body)"/>
      </rPr>
      <t>2</t>
    </r>
  </si>
  <si>
    <r>
      <t>Logic Area mm</t>
    </r>
    <r>
      <rPr>
        <b/>
        <vertAlign val="superscript"/>
        <sz val="16"/>
        <color rgb="FF000000"/>
        <rFont val="Calibri (Body)"/>
      </rPr>
      <t>2</t>
    </r>
  </si>
  <si>
    <t>GDPW</t>
  </si>
  <si>
    <t>max watt/die</t>
  </si>
  <si>
    <t>Watt/(TB/s)</t>
  </si>
  <si>
    <t>Watt/[TB/s]</t>
  </si>
  <si>
    <t>Q1, 2022</t>
  </si>
  <si>
    <t>SRAM Capacity MB</t>
  </si>
  <si>
    <r>
      <t>SRAM Density MB/mm</t>
    </r>
    <r>
      <rPr>
        <b/>
        <vertAlign val="superscript"/>
        <sz val="16"/>
        <color rgb="FF000000"/>
        <rFont val="Calibri (Body)"/>
      </rPr>
      <t>2</t>
    </r>
  </si>
  <si>
    <t>Componet</t>
  </si>
  <si>
    <t>eu</t>
  </si>
  <si>
    <t>CLS G11</t>
  </si>
  <si>
    <t>BMG G10 (X3)</t>
  </si>
  <si>
    <t>N6</t>
  </si>
  <si>
    <t>Die Size</t>
  </si>
  <si>
    <r>
      <t>Gate Density MG/mm</t>
    </r>
    <r>
      <rPr>
        <vertAlign val="superscript"/>
        <sz val="12"/>
        <color theme="1"/>
        <rFont val="Calibri (Body)"/>
      </rPr>
      <t>2</t>
    </r>
  </si>
  <si>
    <r>
      <t>memory density MB/mm</t>
    </r>
    <r>
      <rPr>
        <vertAlign val="superscript"/>
        <sz val="12"/>
        <color theme="1"/>
        <rFont val="Calibri (Body)"/>
      </rPr>
      <t>2</t>
    </r>
  </si>
  <si>
    <t>Gen 1</t>
  </si>
  <si>
    <t>Memory Technology</t>
  </si>
  <si>
    <t>ADM Gen1</t>
  </si>
  <si>
    <t>ADM Gen2</t>
  </si>
  <si>
    <t>6T HD SRAM</t>
  </si>
  <si>
    <t>ADM Technology</t>
  </si>
  <si>
    <t>Capacity
MB</t>
  </si>
  <si>
    <t>BMG G10</t>
  </si>
  <si>
    <t>BMG G10 X3</t>
  </si>
  <si>
    <t>BMG G12 X4</t>
  </si>
  <si>
    <r>
      <t>SRAM Density MB/mm</t>
    </r>
    <r>
      <rPr>
        <b/>
        <vertAlign val="superscript"/>
        <sz val="12"/>
        <color rgb="FF000000"/>
        <rFont val="Calibri (Body)"/>
      </rPr>
      <t>2</t>
    </r>
  </si>
  <si>
    <r>
      <t>Total Area mm</t>
    </r>
    <r>
      <rPr>
        <b/>
        <vertAlign val="superscript"/>
        <sz val="12"/>
        <color rgb="FF000000"/>
        <rFont val="Calibri (Body)"/>
      </rPr>
      <t>2</t>
    </r>
  </si>
  <si>
    <r>
      <t>SRAM Area mm</t>
    </r>
    <r>
      <rPr>
        <b/>
        <vertAlign val="superscript"/>
        <sz val="12"/>
        <color rgb="FF000000"/>
        <rFont val="Calibri (Body)"/>
      </rPr>
      <t>2</t>
    </r>
  </si>
  <si>
    <r>
      <t>Logic Area mm</t>
    </r>
    <r>
      <rPr>
        <b/>
        <vertAlign val="superscript"/>
        <sz val="12"/>
        <color rgb="FF000000"/>
        <rFont val="Calibri (Body)"/>
      </rPr>
      <t>2</t>
    </r>
  </si>
  <si>
    <t>Full feature yield</t>
  </si>
  <si>
    <r>
      <t>D</t>
    </r>
    <r>
      <rPr>
        <vertAlign val="subscript"/>
        <sz val="12"/>
        <color theme="1"/>
        <rFont val="Calibri (Body)"/>
      </rPr>
      <t>0,f</t>
    </r>
  </si>
  <si>
    <t>area</t>
  </si>
  <si>
    <t>yield</t>
  </si>
  <si>
    <r>
      <t>D</t>
    </r>
    <r>
      <rPr>
        <vertAlign val="subscript"/>
        <sz val="12"/>
        <color theme="1"/>
        <rFont val="Calibri (Body)"/>
      </rPr>
      <t>0,d</t>
    </r>
  </si>
  <si>
    <t>D0</t>
  </si>
  <si>
    <t>offset</t>
  </si>
  <si>
    <t>f</t>
  </si>
  <si>
    <t>d</t>
  </si>
  <si>
    <t>defeatured yield</t>
  </si>
  <si>
    <t xml:space="preserve">$12K Full featured N6 wafer pricing vs. $8K P1222.6 wafer cost </t>
  </si>
  <si>
    <t xml:space="preserve">Packaging Density </t>
  </si>
  <si>
    <t>FOV + ADM Die Size</t>
  </si>
  <si>
    <t>N6 Die Size estimate</t>
  </si>
  <si>
    <t>DPW</t>
  </si>
  <si>
    <t>Die Cost</t>
  </si>
  <si>
    <t>Component</t>
  </si>
  <si>
    <r>
      <t>Die Size [mm</t>
    </r>
    <r>
      <rPr>
        <vertAlign val="superscript"/>
        <sz val="12"/>
        <color rgb="FF000000"/>
        <rFont val="Calibri"/>
        <family val="2"/>
      </rPr>
      <t>2</t>
    </r>
    <r>
      <rPr>
        <sz val="12"/>
        <color rgb="FF000000"/>
        <rFont val="Calibri"/>
        <family val="2"/>
      </rPr>
      <t>]</t>
    </r>
  </si>
  <si>
    <t>P1222.61</t>
  </si>
  <si>
    <t>ARL-PX</t>
  </si>
  <si>
    <t>ELASTI-10 FOV</t>
  </si>
  <si>
    <t>ELASTI-12 FOV</t>
  </si>
  <si>
    <t>RISO-Q4'23</t>
  </si>
  <si>
    <t>code name in xls file</t>
  </si>
  <si>
    <t>Component in IROC</t>
  </si>
  <si>
    <t>BMG G12</t>
  </si>
  <si>
    <t>BMG G12 (x4)</t>
  </si>
  <si>
    <t>?</t>
  </si>
  <si>
    <t>Gen 2</t>
  </si>
  <si>
    <r>
      <t>Die size [mm</t>
    </r>
    <r>
      <rPr>
        <vertAlign val="superscript"/>
        <sz val="12"/>
        <color theme="1"/>
        <rFont val="Calibri (Body)"/>
      </rPr>
      <t>2</t>
    </r>
    <r>
      <rPr>
        <sz val="12"/>
        <color theme="1"/>
        <rFont val="Calibri (Body)"/>
      </rPr>
      <t>]</t>
    </r>
  </si>
  <si>
    <r>
      <t>Logic/Peri [mm</t>
    </r>
    <r>
      <rPr>
        <vertAlign val="superscript"/>
        <sz val="12"/>
        <color theme="1"/>
        <rFont val="Calibri (Body)"/>
      </rPr>
      <t>2</t>
    </r>
    <r>
      <rPr>
        <sz val="12"/>
        <color theme="1"/>
        <rFont val="Calibri"/>
        <family val="2"/>
        <scheme val="minor"/>
      </rPr>
      <t>]</t>
    </r>
  </si>
  <si>
    <r>
      <t>SRAM Area [mm</t>
    </r>
    <r>
      <rPr>
        <vertAlign val="superscript"/>
        <sz val="12"/>
        <color theme="1"/>
        <rFont val="Calibri (Body)"/>
      </rPr>
      <t>2</t>
    </r>
    <r>
      <rPr>
        <sz val="12"/>
        <color theme="1"/>
        <rFont val="Calibri"/>
        <family val="2"/>
        <scheme val="minor"/>
      </rPr>
      <t>]</t>
    </r>
  </si>
  <si>
    <r>
      <t>Die Size [mm</t>
    </r>
    <r>
      <rPr>
        <vertAlign val="superscript"/>
        <sz val="12"/>
        <color theme="1"/>
        <rFont val="Calibri (Body)"/>
      </rPr>
      <t>2</t>
    </r>
    <r>
      <rPr>
        <sz val="12"/>
        <color theme="1"/>
        <rFont val="Calibri"/>
        <family val="2"/>
        <scheme val="minor"/>
      </rPr>
      <t>]</t>
    </r>
  </si>
  <si>
    <r>
      <t>ADM area
[mm</t>
    </r>
    <r>
      <rPr>
        <vertAlign val="superscript"/>
        <sz val="12"/>
        <color theme="1"/>
        <rFont val="Calibri (Body)"/>
      </rPr>
      <t>2</t>
    </r>
    <r>
      <rPr>
        <sz val="12"/>
        <color theme="1"/>
        <rFont val="Calibri"/>
        <family val="2"/>
        <scheme val="minor"/>
      </rPr>
      <t>]</t>
    </r>
  </si>
  <si>
    <t xml:space="preserve">$8K defeatured N6 wafer pricing (15% reduction assumed) vs. $8K P1222.6 wafer cost </t>
  </si>
  <si>
    <t>N5 Die Size estimate</t>
  </si>
  <si>
    <r>
      <t>Die Size
[mm</t>
    </r>
    <r>
      <rPr>
        <vertAlign val="superscript"/>
        <sz val="12"/>
        <color theme="1"/>
        <rFont val="Calibri (Body)"/>
      </rPr>
      <t>2</t>
    </r>
    <r>
      <rPr>
        <sz val="12"/>
        <color theme="1"/>
        <rFont val="Calibri"/>
        <family val="2"/>
        <scheme val="minor"/>
      </rPr>
      <t>]</t>
    </r>
  </si>
  <si>
    <t xml:space="preserve"> N6 1P13M wafer pricing (assuming +25% with down-bined) vs. $8K P1222.6 wafer cost </t>
  </si>
  <si>
    <t>WW14 Q1'22 LRP Gold Doc</t>
  </si>
  <si>
    <t>P1222.61 '25</t>
  </si>
  <si>
    <t>P1222.61 '23</t>
  </si>
  <si>
    <t>TSMC N6 ub</t>
  </si>
  <si>
    <t>TSMC N6 lb</t>
  </si>
  <si>
    <t>Cell Size</t>
  </si>
  <si>
    <t>Energy/bit</t>
  </si>
  <si>
    <t>Density</t>
  </si>
  <si>
    <t>Iso Cap. BW</t>
  </si>
  <si>
    <t>Iso Power BW</t>
  </si>
  <si>
    <t>Bit Cost</t>
  </si>
  <si>
    <t>BW Cost</t>
  </si>
  <si>
    <t>P1222.6 '23</t>
  </si>
  <si>
    <t>P1222.6 '25</t>
  </si>
  <si>
    <t>$/wafer</t>
  </si>
  <si>
    <t>Thanks Markus!
Q1 LRP Gold doc reflects capacity/cost of Adamantine.  
P1222.61 is first Gen Adamantine (one deck of dram), PRQ @ the end of 2023.   P1222.7 is Gen 2 ADM (dual deck of dram), for product PRQ @ the end of 2024 or 1st half of 2025.   Gen 2 doubles e-dram mask counts (~25% additional activities).    Your table seems aligning to first gen ADM (P1222.61).   Both integrated and discrete graphics are looking for a product intercept for 2024/2025 with Gen 2 ADM.   Do you have other wafer cost table?
Thanks,
/DerChang 
From: Andersen, Markus T &lt;markus.t.andersen@intel.com&gt;
Date: Thursday, March 24, 2022 at 18:34
To: Kau, Derchang &lt;derchang.kau@intel.com&gt;
Cc: Juwara, Lamin A &lt;lamin.a.juwara@intel.com&gt;, Boakye-yiadom, Kwadwo &lt;kwadwo.boakye-yiadom@intel.com&gt;
Subject: RE: N6 for P1222.6 (Contains or Derived from Supplier Confidential Information)
Hi Derchang,
I’m glad to see the development.  There is a Q1 LRP Gold doc that was just published yesterday, see below for the internal wafer costs and cash costs (ie no equipment depreciation, useful for financials if the fab already exists).  I’m not sure exactly which P1222.6 or P1222.7 you are looking for, but the Admantane node is below.  Hope that helps!  Also cc’ing Kwadwo and Lamin so we are all on the same page.
Thanks, Markus</t>
  </si>
  <si>
    <t>hanks CherSian.</t>
  </si>
  <si>
    <t>It make sense to me.   Slides is revised to reflect 50% recoverable assumption.  </t>
  </si>
  <si>
    <t>From: "Chua, CherSian" &lt;chersian.chua@intel.com&gt;</t>
  </si>
  <si>
    <r>
      <t>Date: </t>
    </r>
    <r>
      <rPr>
        <sz val="12"/>
        <color rgb="FF000000"/>
        <rFont val="Calibri"/>
        <family val="2"/>
        <scheme val="minor"/>
      </rPr>
      <t>Monday, March 14, 2022 at 23:56</t>
    </r>
  </si>
  <si>
    <r>
      <t>To: </t>
    </r>
    <r>
      <rPr>
        <sz val="12"/>
        <color rgb="FF000000"/>
        <rFont val="Calibri"/>
        <family val="2"/>
        <scheme val="minor"/>
      </rPr>
      <t>"Kau, Derchang" &lt;</t>
    </r>
    <r>
      <rPr>
        <u/>
        <sz val="12"/>
        <color rgb="FF005A9E"/>
        <rFont val="Calibri"/>
        <family val="2"/>
        <scheme val="minor"/>
      </rPr>
      <t>derchang.kau@intel.com</t>
    </r>
    <r>
      <rPr>
        <sz val="12"/>
        <color rgb="FF000000"/>
        <rFont val="Calibri"/>
        <family val="2"/>
        <scheme val="minor"/>
      </rPr>
      <t>&gt;, "Goldsmith, Michael" &lt;</t>
    </r>
    <r>
      <rPr>
        <u/>
        <sz val="12"/>
        <color rgb="FF005A9E"/>
        <rFont val="Calibri"/>
        <family val="2"/>
        <scheme val="minor"/>
      </rPr>
      <t>michael.goldsmith@intel.com</t>
    </r>
    <r>
      <rPr>
        <sz val="12"/>
        <color rgb="FF000000"/>
        <rFont val="Calibri"/>
        <family val="2"/>
        <scheme val="minor"/>
      </rPr>
      <t>&gt;, "Wu, Max" &lt;</t>
    </r>
    <r>
      <rPr>
        <u/>
        <sz val="12"/>
        <color rgb="FF005A9E"/>
        <rFont val="Calibri"/>
        <family val="2"/>
        <scheme val="minor"/>
      </rPr>
      <t>max.wu@intel.com</t>
    </r>
    <r>
      <rPr>
        <sz val="12"/>
        <color rgb="FF000000"/>
        <rFont val="Calibri"/>
        <family val="2"/>
        <scheme val="minor"/>
      </rPr>
      <t>&gt;, "Zhang, Jason" &lt;</t>
    </r>
    <r>
      <rPr>
        <u/>
        <sz val="12"/>
        <color rgb="FF005A9E"/>
        <rFont val="Calibri"/>
        <family val="2"/>
        <scheme val="minor"/>
      </rPr>
      <t>jason.zhang@intel.com</t>
    </r>
    <r>
      <rPr>
        <sz val="12"/>
        <color rgb="FF000000"/>
        <rFont val="Calibri"/>
        <family val="2"/>
        <scheme val="minor"/>
      </rPr>
      <t>&gt;, "Wei, Andy" &lt;</t>
    </r>
    <r>
      <rPr>
        <u/>
        <sz val="12"/>
        <color rgb="FF005A9E"/>
        <rFont val="Calibri"/>
        <family val="2"/>
        <scheme val="minor"/>
      </rPr>
      <t>andy.wei@intel.com</t>
    </r>
    <r>
      <rPr>
        <sz val="12"/>
        <color rgb="FF000000"/>
        <rFont val="Calibri"/>
        <family val="2"/>
        <scheme val="minor"/>
      </rPr>
      <t>&gt;, "Subramaniam, Kalavathi" &lt;</t>
    </r>
    <r>
      <rPr>
        <u/>
        <sz val="12"/>
        <color rgb="FF005A9E"/>
        <rFont val="Calibri"/>
        <family val="2"/>
        <scheme val="minor"/>
      </rPr>
      <t>kalavathi.subramaniam@intel.com</t>
    </r>
    <r>
      <rPr>
        <sz val="12"/>
        <color rgb="FF000000"/>
        <rFont val="Calibri"/>
        <family val="2"/>
        <scheme val="minor"/>
      </rPr>
      <t>&gt;, "Chakravarty, Sourav" &lt;</t>
    </r>
    <r>
      <rPr>
        <u/>
        <sz val="12"/>
        <color rgb="FF005A9E"/>
        <rFont val="Calibri"/>
        <family val="2"/>
        <scheme val="minor"/>
      </rPr>
      <t>sourav.chakravarty@intel.com</t>
    </r>
    <r>
      <rPr>
        <sz val="12"/>
        <color rgb="FF000000"/>
        <rFont val="Calibri"/>
        <family val="2"/>
        <scheme val="minor"/>
      </rPr>
      <t>&gt;</t>
    </r>
  </si>
  <si>
    <r>
      <t>Subject: </t>
    </r>
    <r>
      <rPr>
        <sz val="12"/>
        <color rgb="FF000000"/>
        <rFont val="Calibri"/>
        <family val="2"/>
        <scheme val="minor"/>
      </rPr>
      <t>RE: Battlemage base die dual drive proposal; seeking your feedback,</t>
    </r>
  </si>
  <si>
    <t>Hi Derchang,</t>
  </si>
  <si>
    <t>As discussed, the gap between P1222.6 is likely due to internal dies had included de-featured (down-bin) into the yield calculation. </t>
  </si>
  <si>
    <t>I’ll need TD to advise what’s the area recovery% for the 3 dies, so I can update the N6 yield accordingly for apple-to-apple yield/cost comparison.</t>
  </si>
  <si>
    <t>EU</t>
  </si>
  <si>
    <t>(fully featured)</t>
  </si>
  <si>
    <t>(de-featured)</t>
  </si>
  <si>
    <t>Area recovery%</t>
  </si>
  <si>
    <t>&lt; 448</t>
  </si>
  <si>
    <t>&lt; 640</t>
  </si>
  <si>
    <t>As an example, this is the expected N6 yield if assuming 50% of the die area is recoverable/de-featured. </t>
  </si>
  <si>
    <r>
      <t>Your tables (slide 3) fully featured and de-featured actually refering to 13 metal layers and 9 metal layers, so you may want to change the wordings to avoid confusion with above fully featured/de-featured naming convention. </t>
    </r>
    <r>
      <rPr>
        <sz val="11"/>
        <color rgb="FF000000"/>
        <rFont val="Apple Color Emoji"/>
      </rPr>
      <t>😊</t>
    </r>
  </si>
  <si>
    <t>Regards,</t>
  </si>
  <si>
    <t>CherSian Chua</t>
  </si>
  <si>
    <t>2023 Prcing</t>
  </si>
  <si>
    <t>Time</t>
  </si>
  <si>
    <t>Q2'23</t>
  </si>
  <si>
    <t>Q2'24</t>
  </si>
  <si>
    <t>Q2'25</t>
  </si>
  <si>
    <t>Q2'26</t>
  </si>
  <si>
    <t>P1222.71</t>
  </si>
  <si>
    <t>PRQ~PRQ+2years Cost</t>
  </si>
  <si>
    <t>TSMC TSV process not included</t>
  </si>
  <si>
    <t>LRP Q1'22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</si>
</sst>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4" formatCode="_(&quot;$&quot;* #,##0.00_);_(&quot;$&quot;* \(#,##0.00\);_(&quot;$&quot;* &quot;-&quot;??_);_(@_)"/>
    <numFmt numFmtId="164" formatCode="0.000"/>
    <numFmt numFmtId="165" formatCode="0.0"/>
    <numFmt numFmtId="166" formatCode="0.0%"/>
    <numFmt numFmtId="167" formatCode="0.0000"/>
    <numFmt numFmtId="168" formatCode="&quot;$&quot;#,##0.0_);\(&quot;$&quot;#,##0.0\)"/>
    <numFmt numFmtId="169" formatCode="0.000E+00"/>
    <numFmt numFmtId="170" formatCode="0.000000E+00"/>
  </numFmts>
  <fonts count="29" x14ac:knownFonts="1">
    <font>
      <sz val="12"/>
      <color theme="1"/>
      <name val="Calibri"/>
      <family val="2"/>
      <scheme val="minor"/>
    </font>
    <font>
      <sz val="12"/>
      <color theme="1"/>
      <name val="Calibri"/>
      <family val="2"/>
      <scheme val="minor"/>
    </font>
    <font>
      <vertAlign val="superscript"/>
      <sz val="12"/>
      <color theme="1"/>
      <name val="Calibri (Body)"/>
    </font>
    <font>
      <sz val="16"/>
      <color rgb="FF000000"/>
      <name val="Calibri"/>
      <family val="2"/>
    </font>
    <font>
      <vertAlign val="superscript"/>
      <sz val="16"/>
      <color rgb="FF000000"/>
      <name val="Calibri"/>
      <family val="2"/>
    </font>
    <font>
      <vertAlign val="subscript"/>
      <sz val="16"/>
      <color rgb="FF000000"/>
      <name val="Calibri"/>
      <family val="2"/>
    </font>
    <font>
      <sz val="16"/>
      <color rgb="FF000000"/>
      <name val="Calibri"/>
      <family val="2"/>
      <scheme val="minor"/>
    </font>
    <font>
      <vertAlign val="subscript"/>
      <sz val="16"/>
      <color rgb="FF000000"/>
      <name val="Calibri (Body)"/>
    </font>
    <font>
      <vertAlign val="superscript"/>
      <sz val="16"/>
      <color rgb="FF000000"/>
      <name val="Calibri (Body)"/>
    </font>
    <font>
      <sz val="16"/>
      <color rgb="FFC00000"/>
      <name val="Calibri"/>
      <family val="2"/>
    </font>
    <font>
      <sz val="16"/>
      <color rgb="FF00B050"/>
      <name val="Calibri"/>
      <family val="2"/>
    </font>
    <font>
      <sz val="12"/>
      <color theme="8"/>
      <name val="Calibri"/>
      <family val="2"/>
      <scheme val="minor"/>
    </font>
    <font>
      <b/>
      <sz val="16"/>
      <color rgb="FF000000"/>
      <name val="Calibri"/>
      <family val="2"/>
      <scheme val="minor"/>
    </font>
    <font>
      <b/>
      <vertAlign val="superscript"/>
      <sz val="16"/>
      <color rgb="FF000000"/>
      <name val="Calibri (Body)"/>
    </font>
    <font>
      <sz val="12"/>
      <color rgb="FF000000"/>
      <name val="Calibri"/>
      <family val="2"/>
    </font>
    <font>
      <vertAlign val="superscript"/>
      <sz val="12"/>
      <color rgb="FF000000"/>
      <name val="Calibri"/>
      <family val="2"/>
    </font>
    <font>
      <sz val="12"/>
      <color rgb="FF000000"/>
      <name val="Calibri"/>
      <family val="2"/>
      <scheme val="minor"/>
    </font>
    <font>
      <b/>
      <sz val="12"/>
      <color rgb="FF000000"/>
      <name val="Calibri"/>
      <family val="2"/>
      <scheme val="minor"/>
    </font>
    <font>
      <b/>
      <vertAlign val="superscript"/>
      <sz val="12"/>
      <color rgb="FF000000"/>
      <name val="Calibri (Body)"/>
    </font>
    <font>
      <vertAlign val="subscript"/>
      <sz val="12"/>
      <color theme="1"/>
      <name val="Calibri (Body)"/>
    </font>
    <font>
      <sz val="12"/>
      <color theme="1"/>
      <name val="Calibri (Body)"/>
    </font>
    <font>
      <b/>
      <sz val="28"/>
      <color theme="0"/>
      <name val="Calibri"/>
      <family val="2"/>
      <scheme val="minor"/>
    </font>
    <font>
      <u/>
      <sz val="12"/>
      <color theme="10"/>
      <name val="Calibri"/>
      <family val="2"/>
      <scheme val="minor"/>
    </font>
    <font>
      <sz val="11"/>
      <color rgb="FF000000"/>
      <name val="Calibri"/>
      <family val="2"/>
      <scheme val="minor"/>
    </font>
    <font>
      <u/>
      <sz val="12"/>
      <color rgb="FF005A9E"/>
      <name val="Calibri"/>
      <family val="2"/>
      <scheme val="minor"/>
    </font>
    <font>
      <b/>
      <i/>
      <sz val="11"/>
      <color theme="1"/>
      <name val="Calibri"/>
      <family val="2"/>
      <scheme val="minor"/>
    </font>
    <font>
      <b/>
      <i/>
      <sz val="11"/>
      <color rgb="FFFF0000"/>
      <name val="Calibri"/>
      <family val="2"/>
      <scheme val="minor"/>
    </font>
    <font>
      <sz val="11"/>
      <color rgb="FF000000"/>
      <name val="Apple Color Emoji"/>
    </font>
    <font>
      <sz val="18"/>
      <color theme="1"/>
      <name val="Calibri (Body)"/>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cellStyleXfs>
  <cellXfs count="216">
    <xf numFmtId="0" fontId="0" fillId="0" borderId="0" xfId="0"/>
    <xf numFmtId="0" fontId="0" fillId="0" borderId="1" xfId="0" applyBorder="1"/>
    <xf numFmtId="0" fontId="0" fillId="0" borderId="1" xfId="0" applyBorder="1" applyAlignment="1">
      <alignment horizontal="center"/>
    </xf>
    <xf numFmtId="1" fontId="0" fillId="0" borderId="1" xfId="0" applyNumberFormat="1" applyBorder="1" applyAlignment="1">
      <alignment horizontal="center"/>
    </xf>
    <xf numFmtId="9" fontId="0" fillId="0" borderId="1" xfId="1" applyFont="1"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1" fontId="0" fillId="0" borderId="0" xfId="0" applyNumberFormat="1" applyAlignment="1">
      <alignment horizontal="center"/>
    </xf>
    <xf numFmtId="9" fontId="0" fillId="0" borderId="0" xfId="1" applyFont="1" applyAlignment="1">
      <alignment horizontal="center"/>
    </xf>
    <xf numFmtId="2" fontId="0" fillId="0" borderId="0" xfId="0" applyNumberFormat="1" applyAlignment="1">
      <alignment horizontal="center"/>
    </xf>
    <xf numFmtId="165" fontId="0" fillId="0" borderId="0" xfId="0" applyNumberFormat="1" applyAlignment="1">
      <alignment horizontal="center"/>
    </xf>
    <xf numFmtId="166" fontId="0" fillId="0" borderId="0" xfId="1" applyNumberFormat="1" applyFont="1" applyAlignment="1">
      <alignment horizontal="center"/>
    </xf>
    <xf numFmtId="2" fontId="0" fillId="0" borderId="0" xfId="0" applyNumberFormat="1"/>
    <xf numFmtId="2" fontId="0" fillId="0" borderId="1" xfId="1" applyNumberFormat="1" applyFont="1" applyBorder="1" applyAlignment="1">
      <alignment horizontal="center"/>
    </xf>
    <xf numFmtId="0" fontId="3" fillId="0" borderId="5" xfId="0" applyFont="1" applyBorder="1" applyAlignment="1">
      <alignment horizontal="center" wrapText="1" readingOrder="1"/>
    </xf>
    <xf numFmtId="0" fontId="3" fillId="0" borderId="6" xfId="0" applyFont="1" applyBorder="1" applyAlignment="1">
      <alignment horizontal="center" wrapText="1" readingOrder="1"/>
    </xf>
    <xf numFmtId="0" fontId="3" fillId="0" borderId="7" xfId="0" applyFont="1" applyBorder="1" applyAlignment="1">
      <alignment horizontal="left" wrapText="1" readingOrder="1"/>
    </xf>
    <xf numFmtId="0" fontId="3" fillId="0" borderId="8" xfId="0" applyFont="1" applyBorder="1" applyAlignment="1">
      <alignment horizontal="center" wrapText="1" readingOrder="1"/>
    </xf>
    <xf numFmtId="0" fontId="3" fillId="0" borderId="9" xfId="0" applyFont="1" applyBorder="1" applyAlignment="1">
      <alignment horizontal="center" wrapText="1" readingOrder="1"/>
    </xf>
    <xf numFmtId="0" fontId="3" fillId="0" borderId="10" xfId="0" applyFont="1" applyBorder="1" applyAlignment="1">
      <alignment horizontal="left" wrapText="1" readingOrder="1"/>
    </xf>
    <xf numFmtId="0" fontId="0" fillId="0" borderId="0" xfId="0" applyAlignment="1">
      <alignment wrapText="1"/>
    </xf>
    <xf numFmtId="0" fontId="3" fillId="0" borderId="2" xfId="0" applyFont="1" applyBorder="1" applyAlignment="1">
      <alignment horizontal="center" readingOrder="1"/>
    </xf>
    <xf numFmtId="0" fontId="3" fillId="0" borderId="3" xfId="0" applyFont="1" applyBorder="1" applyAlignment="1">
      <alignment horizontal="center" readingOrder="1"/>
    </xf>
    <xf numFmtId="0" fontId="3" fillId="0" borderId="4" xfId="0" applyFont="1" applyBorder="1" applyAlignment="1">
      <alignment horizontal="left" readingOrder="1"/>
    </xf>
    <xf numFmtId="0" fontId="0" fillId="0" borderId="0" xfId="0" applyAlignment="1">
      <alignment horizontal="center" vertical="center"/>
    </xf>
    <xf numFmtId="0" fontId="0" fillId="0" borderId="0" xfId="0" applyAlignment="1">
      <alignment vertical="center"/>
    </xf>
    <xf numFmtId="0" fontId="3" fillId="0" borderId="1" xfId="0" applyFont="1" applyBorder="1" applyAlignment="1">
      <alignment horizontal="center" vertical="center" wrapText="1" readingOrder="1"/>
    </xf>
    <xf numFmtId="0" fontId="6" fillId="0" borderId="11" xfId="0" applyFont="1" applyBorder="1" applyAlignment="1">
      <alignment horizontal="center" vertical="center" readingOrder="1"/>
    </xf>
    <xf numFmtId="0" fontId="3" fillId="0" borderId="12" xfId="0" applyFont="1" applyBorder="1" applyAlignment="1">
      <alignment horizontal="center" vertical="center" wrapText="1" readingOrder="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1" fontId="3" fillId="0" borderId="1" xfId="0" applyNumberFormat="1" applyFont="1" applyBorder="1" applyAlignment="1">
      <alignment horizontal="center" vertical="center" wrapText="1" readingOrder="1"/>
    </xf>
    <xf numFmtId="2" fontId="3" fillId="0" borderId="1" xfId="0" applyNumberFormat="1" applyFont="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1" fontId="3" fillId="0" borderId="12" xfId="0" applyNumberFormat="1" applyFont="1" applyBorder="1" applyAlignment="1">
      <alignment horizontal="center" vertical="center" wrapText="1" readingOrder="1"/>
    </xf>
    <xf numFmtId="2" fontId="3" fillId="0" borderId="12" xfId="0" applyNumberFormat="1" applyFont="1" applyBorder="1" applyAlignment="1">
      <alignment horizontal="center" vertical="center" wrapText="1" readingOrder="1"/>
    </xf>
    <xf numFmtId="164" fontId="3" fillId="0" borderId="12" xfId="0" applyNumberFormat="1" applyFont="1" applyBorder="1" applyAlignment="1">
      <alignment horizontal="center" vertical="center" wrapText="1" readingOrder="1"/>
    </xf>
    <xf numFmtId="0" fontId="3" fillId="0" borderId="19" xfId="0" applyFont="1" applyBorder="1" applyAlignment="1">
      <alignment horizontal="center" vertical="center" readingOrder="1"/>
    </xf>
    <xf numFmtId="9" fontId="3" fillId="0" borderId="1" xfId="0" applyNumberFormat="1" applyFont="1" applyBorder="1" applyAlignment="1">
      <alignment horizontal="center" vertical="center" wrapText="1" readingOrder="1"/>
    </xf>
    <xf numFmtId="5" fontId="3" fillId="0" borderId="1" xfId="2" applyNumberFormat="1" applyFont="1" applyBorder="1" applyAlignment="1">
      <alignment horizontal="center" vertical="center" wrapText="1" readingOrder="1"/>
    </xf>
    <xf numFmtId="7" fontId="3" fillId="0" borderId="1" xfId="2" applyNumberFormat="1" applyFont="1" applyBorder="1" applyAlignment="1">
      <alignment horizontal="center" vertical="center" wrapText="1" readingOrder="1"/>
    </xf>
    <xf numFmtId="0" fontId="3" fillId="0" borderId="11" xfId="0" applyFont="1" applyBorder="1" applyAlignment="1">
      <alignment horizontal="center" vertical="center" readingOrder="1"/>
    </xf>
    <xf numFmtId="0" fontId="3" fillId="0" borderId="14" xfId="0" applyFont="1" applyBorder="1" applyAlignment="1">
      <alignment horizontal="center" vertical="center" readingOrder="1"/>
    </xf>
    <xf numFmtId="7" fontId="3" fillId="0" borderId="16" xfId="2" applyNumberFormat="1" applyFont="1" applyBorder="1" applyAlignment="1">
      <alignment horizontal="center" vertical="center" wrapText="1" readingOrder="1"/>
    </xf>
    <xf numFmtId="9" fontId="3" fillId="0" borderId="12" xfId="0" applyNumberFormat="1" applyFont="1" applyBorder="1" applyAlignment="1">
      <alignment horizontal="center" vertical="center" wrapText="1" readingOrder="1"/>
    </xf>
    <xf numFmtId="5" fontId="3" fillId="0" borderId="12" xfId="2" applyNumberFormat="1" applyFont="1" applyBorder="1" applyAlignment="1">
      <alignment horizontal="center" vertical="center" wrapText="1" readingOrder="1"/>
    </xf>
    <xf numFmtId="7" fontId="3" fillId="0" borderId="18" xfId="2" applyNumberFormat="1" applyFont="1" applyBorder="1" applyAlignment="1">
      <alignment horizontal="center" vertical="center" wrapText="1" readingOrder="1"/>
    </xf>
    <xf numFmtId="0" fontId="3" fillId="0" borderId="20" xfId="0" applyFont="1" applyBorder="1" applyAlignment="1">
      <alignment horizontal="left" vertical="center" wrapText="1" indent="1" readingOrder="1"/>
    </xf>
    <xf numFmtId="0" fontId="3" fillId="0" borderId="21" xfId="0" applyFont="1" applyBorder="1" applyAlignment="1">
      <alignment horizontal="left" vertical="center" wrapText="1" indent="1" readingOrder="1"/>
    </xf>
    <xf numFmtId="7" fontId="3" fillId="0" borderId="12" xfId="2" applyNumberFormat="1" applyFont="1" applyBorder="1" applyAlignment="1">
      <alignment horizontal="center" vertical="center" wrapText="1" readingOrder="1"/>
    </xf>
    <xf numFmtId="167" fontId="0" fillId="0" borderId="12" xfId="0" applyNumberFormat="1" applyBorder="1" applyAlignment="1">
      <alignment horizontal="center" vertical="center"/>
    </xf>
    <xf numFmtId="168" fontId="3" fillId="0" borderId="12" xfId="2" applyNumberFormat="1" applyFont="1" applyBorder="1" applyAlignment="1">
      <alignment horizontal="center" vertical="center" wrapText="1" readingOrder="1"/>
    </xf>
    <xf numFmtId="0" fontId="3" fillId="0" borderId="13" xfId="0" applyFont="1" applyBorder="1" applyAlignment="1">
      <alignment horizontal="center" vertical="center" readingOrder="1"/>
    </xf>
    <xf numFmtId="0" fontId="3" fillId="0" borderId="15" xfId="0" applyFont="1" applyBorder="1" applyAlignment="1">
      <alignment horizontal="left" vertical="center" wrapText="1" indent="1" readingOrder="1"/>
    </xf>
    <xf numFmtId="0" fontId="3" fillId="0" borderId="17" xfId="0" applyFont="1" applyBorder="1" applyAlignment="1">
      <alignment horizontal="left" vertical="center" wrapText="1" indent="1" readingOrder="1"/>
    </xf>
    <xf numFmtId="2" fontId="3" fillId="0" borderId="1" xfId="1" applyNumberFormat="1" applyFont="1" applyBorder="1" applyAlignment="1">
      <alignment horizontal="center" vertical="center" wrapText="1" readingOrder="1"/>
    </xf>
    <xf numFmtId="0" fontId="3" fillId="0" borderId="16" xfId="0" applyFont="1" applyBorder="1" applyAlignment="1">
      <alignment horizontal="center" vertical="center" wrapText="1" readingOrder="1"/>
    </xf>
    <xf numFmtId="2" fontId="3" fillId="0" borderId="12" xfId="1" applyNumberFormat="1" applyFont="1" applyBorder="1" applyAlignment="1">
      <alignment horizontal="center" vertical="center" wrapText="1" readingOrder="1"/>
    </xf>
    <xf numFmtId="2" fontId="9" fillId="0" borderId="12" xfId="1" applyNumberFormat="1" applyFont="1" applyBorder="1" applyAlignment="1">
      <alignment horizontal="center" vertical="center" wrapText="1" readingOrder="1"/>
    </xf>
    <xf numFmtId="2" fontId="9" fillId="0" borderId="1" xfId="1" applyNumberFormat="1" applyFont="1" applyBorder="1" applyAlignment="1">
      <alignment horizontal="center" vertical="center" wrapText="1" readingOrder="1"/>
    </xf>
    <xf numFmtId="0" fontId="0" fillId="2" borderId="0" xfId="0" applyFill="1" applyAlignment="1">
      <alignment vertical="center"/>
    </xf>
    <xf numFmtId="0" fontId="0" fillId="2" borderId="0" xfId="0" applyFill="1" applyAlignment="1">
      <alignment horizontal="center" vertical="center"/>
    </xf>
    <xf numFmtId="2" fontId="9" fillId="0" borderId="18" xfId="1" applyNumberFormat="1" applyFont="1" applyBorder="1" applyAlignment="1">
      <alignment horizontal="center" vertical="center" wrapText="1" readingOrder="1"/>
    </xf>
    <xf numFmtId="2" fontId="10" fillId="0" borderId="16" xfId="1" applyNumberFormat="1" applyFont="1" applyBorder="1" applyAlignment="1">
      <alignment horizontal="center" vertical="center" wrapText="1" readingOrder="1"/>
    </xf>
    <xf numFmtId="0" fontId="11" fillId="0" borderId="0" xfId="0" applyFont="1" applyAlignment="1">
      <alignment vertical="center"/>
    </xf>
    <xf numFmtId="2" fontId="10" fillId="0" borderId="1" xfId="1" applyNumberFormat="1" applyFont="1" applyBorder="1" applyAlignment="1">
      <alignment horizontal="center" vertical="center" wrapText="1" readingOrder="1"/>
    </xf>
    <xf numFmtId="2" fontId="10" fillId="0" borderId="12" xfId="1" applyNumberFormat="1" applyFont="1" applyBorder="1" applyAlignment="1">
      <alignment horizontal="center" vertical="center" wrapText="1" readingOrder="1"/>
    </xf>
    <xf numFmtId="166" fontId="3" fillId="0" borderId="1" xfId="0" applyNumberFormat="1" applyFont="1" applyBorder="1" applyAlignment="1">
      <alignment horizontal="center" vertical="center" wrapText="1" readingOrder="1"/>
    </xf>
    <xf numFmtId="0" fontId="0" fillId="0" borderId="0" xfId="0"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1" xfId="0" applyFont="1" applyBorder="1" applyAlignment="1">
      <alignment horizontal="center" vertical="center"/>
    </xf>
    <xf numFmtId="10" fontId="6" fillId="0" borderId="1"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10" fontId="6" fillId="0" borderId="12" xfId="0" applyNumberFormat="1" applyFont="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2" fontId="3" fillId="0" borderId="16" xfId="0" applyNumberFormat="1" applyFont="1" applyBorder="1" applyAlignment="1">
      <alignment horizontal="center" vertical="center" wrapText="1" readingOrder="1"/>
    </xf>
    <xf numFmtId="166" fontId="3" fillId="0" borderId="12" xfId="0" applyNumberFormat="1" applyFont="1" applyBorder="1" applyAlignment="1">
      <alignment horizontal="center" vertical="center" wrapText="1" readingOrder="1"/>
    </xf>
    <xf numFmtId="2" fontId="3" fillId="0" borderId="18" xfId="0" applyNumberFormat="1" applyFont="1" applyBorder="1" applyAlignment="1">
      <alignment horizontal="center" vertical="center" wrapText="1" readingOrder="1"/>
    </xf>
    <xf numFmtId="0" fontId="0" fillId="3" borderId="0" xfId="0" applyFill="1" applyAlignment="1">
      <alignment horizontal="center" vertical="center"/>
    </xf>
    <xf numFmtId="0" fontId="0" fillId="3" borderId="1" xfId="0" applyFill="1" applyBorder="1" applyAlignment="1">
      <alignment horizontal="center" vertical="center"/>
    </xf>
    <xf numFmtId="1" fontId="0" fillId="0" borderId="1" xfId="0" applyNumberFormat="1" applyBorder="1" applyAlignment="1">
      <alignment horizontal="center" vertical="center"/>
    </xf>
    <xf numFmtId="1" fontId="0" fillId="0" borderId="16" xfId="0" applyNumberFormat="1" applyBorder="1" applyAlignment="1">
      <alignment horizontal="center" vertical="center"/>
    </xf>
    <xf numFmtId="0" fontId="0" fillId="0" borderId="11" xfId="0" applyBorder="1" applyAlignment="1">
      <alignment horizontal="center" vertical="center" wrapText="1"/>
    </xf>
    <xf numFmtId="0" fontId="0" fillId="3" borderId="11" xfId="0" applyFill="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left" vertical="center" wrapText="1"/>
    </xf>
    <xf numFmtId="0" fontId="0" fillId="0" borderId="15" xfId="0" applyBorder="1" applyAlignment="1">
      <alignment horizontal="left" vertical="center"/>
    </xf>
    <xf numFmtId="0" fontId="14" fillId="0" borderId="11" xfId="0" applyFont="1" applyBorder="1" applyAlignment="1">
      <alignment horizontal="center" vertical="center" readingOrder="1"/>
    </xf>
    <xf numFmtId="0" fontId="16" fillId="0" borderId="11" xfId="0" applyFont="1" applyBorder="1" applyAlignment="1">
      <alignment horizontal="center" vertical="center" readingOrder="1"/>
    </xf>
    <xf numFmtId="0" fontId="14" fillId="0" borderId="14" xfId="0" applyFont="1" applyBorder="1" applyAlignment="1">
      <alignment horizontal="center" vertical="center" readingOrder="1"/>
    </xf>
    <xf numFmtId="0" fontId="14" fillId="0" borderId="1" xfId="0" applyFont="1" applyBorder="1" applyAlignment="1">
      <alignment horizontal="center" vertical="center" wrapText="1" readingOrder="1"/>
    </xf>
    <xf numFmtId="166" fontId="14" fillId="0" borderId="1" xfId="0" applyNumberFormat="1" applyFont="1" applyBorder="1" applyAlignment="1">
      <alignment horizontal="center" vertical="center" wrapText="1" readingOrder="1"/>
    </xf>
    <xf numFmtId="1" fontId="14" fillId="0" borderId="1" xfId="0" applyNumberFormat="1" applyFont="1" applyBorder="1" applyAlignment="1">
      <alignment horizontal="center" vertical="center" wrapText="1" readingOrder="1"/>
    </xf>
    <xf numFmtId="7" fontId="14" fillId="0" borderId="16" xfId="2" applyNumberFormat="1" applyFont="1" applyBorder="1" applyAlignment="1">
      <alignment horizontal="center" vertical="center" wrapText="1" readingOrder="1"/>
    </xf>
    <xf numFmtId="0" fontId="14" fillId="0" borderId="12" xfId="0" applyFont="1" applyBorder="1" applyAlignment="1">
      <alignment horizontal="center" vertical="center" wrapText="1" readingOrder="1"/>
    </xf>
    <xf numFmtId="7" fontId="14" fillId="0" borderId="18" xfId="2" applyNumberFormat="1"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 xfId="0" applyFont="1" applyBorder="1" applyAlignment="1">
      <alignment horizontal="center" vertical="center"/>
    </xf>
    <xf numFmtId="10" fontId="16" fillId="0" borderId="1" xfId="0" applyNumberFormat="1" applyFont="1" applyBorder="1" applyAlignment="1">
      <alignment horizontal="center" vertical="center"/>
    </xf>
    <xf numFmtId="0" fontId="16" fillId="2" borderId="16" xfId="0" applyFont="1" applyFill="1" applyBorder="1" applyAlignment="1">
      <alignment horizontal="center" vertical="center"/>
    </xf>
    <xf numFmtId="0" fontId="16" fillId="0" borderId="16" xfId="0" applyFont="1" applyBorder="1" applyAlignment="1">
      <alignment horizontal="center" vertical="center"/>
    </xf>
    <xf numFmtId="0" fontId="16" fillId="0" borderId="12" xfId="0" applyFont="1" applyBorder="1" applyAlignment="1">
      <alignment horizontal="center" vertical="center"/>
    </xf>
    <xf numFmtId="10" fontId="16" fillId="0" borderId="12" xfId="0" applyNumberFormat="1" applyFont="1" applyBorder="1" applyAlignment="1">
      <alignment horizontal="center" vertical="center"/>
    </xf>
    <xf numFmtId="0" fontId="16" fillId="2" borderId="18" xfId="0" applyFont="1" applyFill="1" applyBorder="1" applyAlignment="1">
      <alignment horizontal="center" vertical="center"/>
    </xf>
    <xf numFmtId="169" fontId="0" fillId="0" borderId="0" xfId="0" applyNumberFormat="1" applyAlignment="1">
      <alignment vertical="center"/>
    </xf>
    <xf numFmtId="166" fontId="0" fillId="0" borderId="0" xfId="1" applyNumberFormat="1" applyFont="1" applyAlignment="1">
      <alignment vertical="center"/>
    </xf>
    <xf numFmtId="170" fontId="0" fillId="0" borderId="0" xfId="0" applyNumberFormat="1" applyAlignment="1">
      <alignment vertical="center"/>
    </xf>
    <xf numFmtId="166" fontId="0" fillId="0" borderId="0" xfId="1" applyNumberFormat="1" applyFont="1" applyAlignment="1">
      <alignment horizontal="center" vertical="center"/>
    </xf>
    <xf numFmtId="0" fontId="14" fillId="0" borderId="13" xfId="0" applyFont="1" applyBorder="1" applyAlignment="1">
      <alignment horizontal="center" vertical="center" readingOrder="1"/>
    </xf>
    <xf numFmtId="166" fontId="0" fillId="0" borderId="12" xfId="1" applyNumberFormat="1" applyFont="1" applyBorder="1" applyAlignment="1">
      <alignment horizontal="center" vertical="center"/>
    </xf>
    <xf numFmtId="1" fontId="14" fillId="0" borderId="12" xfId="0" applyNumberFormat="1" applyFont="1" applyBorder="1" applyAlignment="1">
      <alignment horizontal="center" vertical="center" wrapText="1" readingOrder="1"/>
    </xf>
    <xf numFmtId="0" fontId="14" fillId="4" borderId="1" xfId="0" applyFont="1" applyFill="1" applyBorder="1" applyAlignment="1">
      <alignment horizontal="center" vertical="center" wrapText="1" readingOrder="1"/>
    </xf>
    <xf numFmtId="166" fontId="14" fillId="4" borderId="1" xfId="0" applyNumberFormat="1" applyFont="1" applyFill="1" applyBorder="1" applyAlignment="1">
      <alignment horizontal="center" vertical="center" wrapText="1" readingOrder="1"/>
    </xf>
    <xf numFmtId="1" fontId="14" fillId="4" borderId="1" xfId="0" applyNumberFormat="1" applyFont="1" applyFill="1" applyBorder="1" applyAlignment="1">
      <alignment horizontal="center" vertical="center" wrapText="1" readingOrder="1"/>
    </xf>
    <xf numFmtId="7" fontId="14" fillId="4" borderId="16" xfId="2" applyNumberFormat="1" applyFont="1" applyFill="1" applyBorder="1" applyAlignment="1">
      <alignment horizontal="center" vertical="center" wrapText="1" readingOrder="1"/>
    </xf>
    <xf numFmtId="0" fontId="14" fillId="0" borderId="11" xfId="0" applyFont="1" applyBorder="1" applyAlignment="1">
      <alignment horizontal="center" vertical="center" wrapText="1" readingOrder="1"/>
    </xf>
    <xf numFmtId="0" fontId="0" fillId="0" borderId="1" xfId="0" applyBorder="1" applyAlignment="1">
      <alignment vertical="center"/>
    </xf>
    <xf numFmtId="0" fontId="0" fillId="0" borderId="13" xfId="0" applyBorder="1" applyAlignment="1">
      <alignment vertical="center" wrapText="1"/>
    </xf>
    <xf numFmtId="0" fontId="0" fillId="0" borderId="11" xfId="0" applyBorder="1" applyAlignment="1">
      <alignment vertical="center" wrapText="1"/>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0" fontId="0" fillId="0" borderId="16" xfId="1" applyNumberFormat="1" applyFont="1" applyBorder="1" applyAlignment="1">
      <alignment vertical="center"/>
    </xf>
    <xf numFmtId="0" fontId="0" fillId="0" borderId="17" xfId="0" applyBorder="1" applyAlignment="1">
      <alignment vertical="center"/>
    </xf>
    <xf numFmtId="0" fontId="0" fillId="0" borderId="12" xfId="0" applyBorder="1" applyAlignment="1">
      <alignment vertical="center"/>
    </xf>
    <xf numFmtId="10" fontId="0" fillId="0" borderId="18" xfId="1" applyNumberFormat="1" applyFont="1" applyBorder="1" applyAlignment="1">
      <alignment vertical="center"/>
    </xf>
    <xf numFmtId="0" fontId="0" fillId="0" borderId="17" xfId="0" applyBorder="1" applyAlignment="1">
      <alignment horizontal="left" vertical="center"/>
    </xf>
    <xf numFmtId="0" fontId="0" fillId="3" borderId="12" xfId="0" applyFill="1" applyBorder="1" applyAlignment="1">
      <alignment horizontal="center" vertical="center"/>
    </xf>
    <xf numFmtId="0" fontId="0" fillId="0" borderId="0" xfId="0" applyAlignment="1">
      <alignment horizontal="left" vertical="center" wrapText="1"/>
    </xf>
    <xf numFmtId="0" fontId="0" fillId="3" borderId="0" xfId="0" applyFill="1" applyAlignment="1">
      <alignment horizontal="center" vertical="center" wrapText="1"/>
    </xf>
    <xf numFmtId="0" fontId="0" fillId="0" borderId="0" xfId="0" applyAlignment="1">
      <alignment horizontal="left" vertical="center"/>
    </xf>
    <xf numFmtId="1" fontId="0" fillId="0" borderId="0" xfId="0" applyNumberFormat="1" applyAlignment="1">
      <alignment horizontal="center" vertical="center"/>
    </xf>
    <xf numFmtId="0" fontId="0" fillId="0" borderId="30" xfId="0" applyBorder="1" applyAlignment="1">
      <alignment vertical="center"/>
    </xf>
    <xf numFmtId="16" fontId="0" fillId="0" borderId="0" xfId="0" applyNumberFormat="1" applyAlignment="1">
      <alignment horizontal="center" vertical="center"/>
    </xf>
    <xf numFmtId="0" fontId="0" fillId="5" borderId="0" xfId="0" applyFill="1" applyAlignment="1">
      <alignment horizontal="center" vertical="center"/>
    </xf>
    <xf numFmtId="0" fontId="0" fillId="3" borderId="25" xfId="0" applyFill="1" applyBorder="1" applyAlignment="1">
      <alignment horizontal="center" vertical="center"/>
    </xf>
    <xf numFmtId="0" fontId="0" fillId="3" borderId="31" xfId="0" applyFill="1" applyBorder="1" applyAlignment="1">
      <alignment horizontal="center" vertical="center" wrapText="1"/>
    </xf>
    <xf numFmtId="0" fontId="0" fillId="3" borderId="32" xfId="0" applyFill="1" applyBorder="1" applyAlignment="1">
      <alignment horizontal="center" vertical="center"/>
    </xf>
    <xf numFmtId="0" fontId="3" fillId="0" borderId="33" xfId="0" applyFont="1" applyBorder="1" applyAlignment="1">
      <alignment horizontal="left" vertical="center" wrapText="1" indent="1" readingOrder="1"/>
    </xf>
    <xf numFmtId="0" fontId="0" fillId="6" borderId="0" xfId="0" applyFill="1" applyAlignment="1">
      <alignment vertical="center"/>
    </xf>
    <xf numFmtId="0" fontId="0" fillId="6" borderId="0" xfId="0" applyFill="1" applyAlignment="1">
      <alignment horizontal="center" vertical="center"/>
    </xf>
    <xf numFmtId="0" fontId="21" fillId="6" borderId="0" xfId="0" applyFont="1" applyFill="1" applyAlignment="1">
      <alignment vertical="center"/>
    </xf>
    <xf numFmtId="5" fontId="3" fillId="0" borderId="1" xfId="0" applyNumberFormat="1" applyFont="1" applyBorder="1" applyAlignment="1">
      <alignment horizontal="center" vertical="center" wrapText="1" readingOrder="1"/>
    </xf>
    <xf numFmtId="164" fontId="9" fillId="0" borderId="12" xfId="1" applyNumberFormat="1" applyFont="1" applyBorder="1" applyAlignment="1">
      <alignment horizontal="center" vertical="center" wrapText="1" readingOrder="1"/>
    </xf>
    <xf numFmtId="0" fontId="25" fillId="0" borderId="0" xfId="0" applyFont="1"/>
    <xf numFmtId="0" fontId="23" fillId="0" borderId="0" xfId="0" applyFont="1" applyAlignment="1">
      <alignment wrapText="1"/>
    </xf>
    <xf numFmtId="0" fontId="22" fillId="0" borderId="0" xfId="3" applyAlignment="1">
      <alignment wrapText="1"/>
    </xf>
    <xf numFmtId="0" fontId="17"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0" fillId="7" borderId="0" xfId="0" applyFill="1"/>
    <xf numFmtId="0" fontId="0" fillId="7" borderId="0" xfId="0" applyFill="1" applyAlignment="1">
      <alignment vertical="center"/>
    </xf>
    <xf numFmtId="6" fontId="0" fillId="0" borderId="0" xfId="0" applyNumberFormat="1" applyAlignment="1">
      <alignment vertical="center"/>
    </xf>
    <xf numFmtId="6" fontId="14" fillId="4" borderId="1" xfId="0" applyNumberFormat="1" applyFont="1" applyFill="1" applyBorder="1" applyAlignment="1">
      <alignment horizontal="center" vertical="center" wrapText="1" readingOrder="1"/>
    </xf>
    <xf numFmtId="6" fontId="14" fillId="0" borderId="1" xfId="0" applyNumberFormat="1" applyFont="1" applyBorder="1" applyAlignment="1">
      <alignment horizontal="center" vertical="center" wrapText="1" readingOrder="1"/>
    </xf>
    <xf numFmtId="166" fontId="0" fillId="0" borderId="1" xfId="1" applyNumberFormat="1" applyFont="1" applyBorder="1" applyAlignment="1">
      <alignment horizontal="center" vertical="center"/>
    </xf>
    <xf numFmtId="0" fontId="14" fillId="0" borderId="34" xfId="0" applyFont="1" applyBorder="1" applyAlignment="1">
      <alignment horizontal="center" vertical="center" readingOrder="1"/>
    </xf>
    <xf numFmtId="0" fontId="14" fillId="0" borderId="35" xfId="0" applyFont="1" applyBorder="1" applyAlignment="1">
      <alignment horizontal="center" vertical="center" readingOrder="1"/>
    </xf>
    <xf numFmtId="0" fontId="14" fillId="0" borderId="35" xfId="0" applyFont="1" applyBorder="1" applyAlignment="1">
      <alignment horizontal="center" vertical="center" wrapText="1" readingOrder="1"/>
    </xf>
    <xf numFmtId="0" fontId="16" fillId="0" borderId="35" xfId="0" applyFont="1" applyBorder="1" applyAlignment="1">
      <alignment horizontal="center" vertical="center" readingOrder="1"/>
    </xf>
    <xf numFmtId="0" fontId="14" fillId="0" borderId="36" xfId="0" applyFont="1" applyBorder="1" applyAlignment="1">
      <alignment horizontal="center" vertical="center" readingOrder="1"/>
    </xf>
    <xf numFmtId="0" fontId="14" fillId="4" borderId="11" xfId="0" applyFont="1" applyFill="1" applyBorder="1" applyAlignment="1">
      <alignment horizontal="center" vertical="center" wrapText="1" readingOrder="1"/>
    </xf>
    <xf numFmtId="6" fontId="14" fillId="4" borderId="11" xfId="0" applyNumberFormat="1" applyFont="1" applyFill="1" applyBorder="1" applyAlignment="1">
      <alignment horizontal="center" vertical="center" wrapText="1" readingOrder="1"/>
    </xf>
    <xf numFmtId="166" fontId="14" fillId="4" borderId="11" xfId="0" applyNumberFormat="1" applyFont="1" applyFill="1" applyBorder="1" applyAlignment="1">
      <alignment horizontal="center" vertical="center" wrapText="1" readingOrder="1"/>
    </xf>
    <xf numFmtId="1" fontId="14" fillId="4" borderId="11" xfId="0" applyNumberFormat="1" applyFont="1" applyFill="1" applyBorder="1" applyAlignment="1">
      <alignment horizontal="center" vertical="center" wrapText="1" readingOrder="1"/>
    </xf>
    <xf numFmtId="7" fontId="14" fillId="4" borderId="14" xfId="2" applyNumberFormat="1" applyFont="1" applyFill="1" applyBorder="1" applyAlignment="1">
      <alignment horizontal="center" vertical="center" wrapText="1" readingOrder="1"/>
    </xf>
    <xf numFmtId="6" fontId="14" fillId="0" borderId="12" xfId="0" applyNumberFormat="1" applyFont="1" applyBorder="1" applyAlignment="1">
      <alignment horizontal="center" vertical="center" wrapText="1" readingOrder="1"/>
    </xf>
    <xf numFmtId="166" fontId="14" fillId="0" borderId="12" xfId="0" applyNumberFormat="1" applyFont="1" applyBorder="1" applyAlignment="1">
      <alignment horizontal="center" vertical="center" wrapText="1" readingOrder="1"/>
    </xf>
    <xf numFmtId="0" fontId="14" fillId="0" borderId="22" xfId="0" applyFont="1" applyBorder="1" applyAlignment="1">
      <alignment horizontal="center" vertical="center" wrapText="1" readingOrder="1"/>
    </xf>
    <xf numFmtId="6" fontId="14" fillId="0" borderId="22" xfId="0" applyNumberFormat="1" applyFont="1" applyBorder="1" applyAlignment="1">
      <alignment horizontal="center" vertical="center" wrapText="1" readingOrder="1"/>
    </xf>
    <xf numFmtId="166" fontId="14" fillId="0" borderId="22" xfId="0" applyNumberFormat="1" applyFont="1" applyBorder="1" applyAlignment="1">
      <alignment horizontal="center" vertical="center" wrapText="1" readingOrder="1"/>
    </xf>
    <xf numFmtId="1" fontId="14" fillId="0" borderId="22" xfId="0" applyNumberFormat="1" applyFont="1" applyBorder="1" applyAlignment="1">
      <alignment horizontal="center" vertical="center" wrapText="1" readingOrder="1"/>
    </xf>
    <xf numFmtId="7" fontId="14" fillId="0" borderId="16" xfId="2" applyNumberFormat="1" applyFont="1" applyFill="1" applyBorder="1" applyAlignment="1">
      <alignment horizontal="center" vertical="center" wrapText="1" readingOrder="1"/>
    </xf>
    <xf numFmtId="7" fontId="14" fillId="0" borderId="18" xfId="2" applyNumberFormat="1" applyFont="1" applyFill="1" applyBorder="1" applyAlignment="1">
      <alignment horizontal="center" vertical="center" wrapText="1" readingOrder="1"/>
    </xf>
    <xf numFmtId="7" fontId="14" fillId="0" borderId="37" xfId="2" applyNumberFormat="1" applyFont="1" applyFill="1" applyBorder="1" applyAlignment="1">
      <alignment horizontal="center" vertical="center" wrapText="1" readingOrder="1"/>
    </xf>
    <xf numFmtId="7" fontId="0" fillId="0" borderId="0" xfId="0" applyNumberFormat="1" applyAlignment="1">
      <alignment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3" fillId="0" borderId="23" xfId="0" applyFont="1"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22" xfId="0" applyFont="1" applyBorder="1" applyAlignment="1">
      <alignment horizontal="center" vertical="center" wrapText="1" readingOrder="1"/>
    </xf>
    <xf numFmtId="0" fontId="3" fillId="0" borderId="25" xfId="0" applyFont="1" applyBorder="1" applyAlignment="1">
      <alignment horizontal="center" vertical="center" wrapText="1" readingOrder="1"/>
    </xf>
    <xf numFmtId="5" fontId="3" fillId="0" borderId="22" xfId="2" applyNumberFormat="1" applyFont="1" applyBorder="1" applyAlignment="1">
      <alignment horizontal="center" vertical="center" wrapText="1" readingOrder="1"/>
    </xf>
    <xf numFmtId="5" fontId="3" fillId="0" borderId="25" xfId="2" applyNumberFormat="1" applyFont="1" applyBorder="1" applyAlignment="1">
      <alignment horizontal="center" vertical="center" wrapText="1" readingOrder="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center" vertical="center"/>
    </xf>
    <xf numFmtId="0" fontId="14" fillId="0" borderId="15" xfId="0" applyFont="1" applyBorder="1" applyAlignment="1">
      <alignment horizontal="center" vertical="center" wrapText="1" readingOrder="1"/>
    </xf>
    <xf numFmtId="0" fontId="0" fillId="0" borderId="29" xfId="0" applyBorder="1" applyAlignment="1">
      <alignment horizontal="center" vertical="center"/>
    </xf>
    <xf numFmtId="0" fontId="16" fillId="0" borderId="12" xfId="0" applyFont="1" applyBorder="1" applyAlignment="1">
      <alignment horizontal="center" vertical="center"/>
    </xf>
    <xf numFmtId="0" fontId="14" fillId="0" borderId="17" xfId="0" applyFont="1" applyBorder="1" applyAlignment="1">
      <alignment horizontal="center" vertical="center" wrapText="1" readingOrder="1"/>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0" fillId="0" borderId="0" xfId="0" applyAlignment="1">
      <alignment horizontal="right" vertical="center"/>
    </xf>
    <xf numFmtId="0" fontId="14" fillId="0" borderId="13" xfId="0" applyFont="1" applyBorder="1" applyAlignment="1">
      <alignment horizontal="center" vertical="center" wrapText="1" readingOrder="1"/>
    </xf>
    <xf numFmtId="0" fontId="28" fillId="0" borderId="29" xfId="0" applyFont="1" applyBorder="1" applyAlignment="1">
      <alignment horizontal="center" vertical="center"/>
    </xf>
    <xf numFmtId="0" fontId="14" fillId="0" borderId="23" xfId="0" applyFont="1" applyBorder="1" applyAlignment="1">
      <alignment horizontal="center" vertical="center" wrapText="1" readingOrder="1"/>
    </xf>
    <xf numFmtId="0" fontId="25" fillId="0" borderId="0" xfId="0" applyFont="1" applyAlignment="1">
      <alignment wrapText="1"/>
    </xf>
  </cellXfs>
  <cellStyles count="4">
    <cellStyle name="Currency" xfId="2" builtinId="4"/>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44450</xdr:colOff>
      <xdr:row>19</xdr:row>
      <xdr:rowOff>76200</xdr:rowOff>
    </xdr:from>
    <xdr:to>
      <xdr:col>7</xdr:col>
      <xdr:colOff>61383</xdr:colOff>
      <xdr:row>25</xdr:row>
      <xdr:rowOff>139700</xdr:rowOff>
    </xdr:to>
    <xdr:pic>
      <xdr:nvPicPr>
        <xdr:cNvPr id="2" name="Picture 1" descr="die per wafer formula">
          <a:extLst>
            <a:ext uri="{FF2B5EF4-FFF2-40B4-BE49-F238E27FC236}">
              <a16:creationId xmlns:a16="http://schemas.microsoft.com/office/drawing/2014/main" id="{0912A3D6-E0FB-2045-A361-750A3D1F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4737100"/>
          <a:ext cx="4461933" cy="128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44450</xdr:colOff>
      <xdr:row>19</xdr:row>
      <xdr:rowOff>76200</xdr:rowOff>
    </xdr:from>
    <xdr:to>
      <xdr:col>6</xdr:col>
      <xdr:colOff>848783</xdr:colOff>
      <xdr:row>25</xdr:row>
      <xdr:rowOff>139700</xdr:rowOff>
    </xdr:to>
    <xdr:pic>
      <xdr:nvPicPr>
        <xdr:cNvPr id="2" name="Picture 1" descr="die per wafer formula">
          <a:extLst>
            <a:ext uri="{FF2B5EF4-FFF2-40B4-BE49-F238E27FC236}">
              <a16:creationId xmlns:a16="http://schemas.microsoft.com/office/drawing/2014/main" id="{92F4D96D-3D69-F142-8A10-FE6BE239C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4737100"/>
          <a:ext cx="4461933" cy="128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341923</xdr:colOff>
      <xdr:row>0</xdr:row>
      <xdr:rowOff>156308</xdr:rowOff>
    </xdr:from>
    <xdr:to>
      <xdr:col>32</xdr:col>
      <xdr:colOff>646724</xdr:colOff>
      <xdr:row>16</xdr:row>
      <xdr:rowOff>977</xdr:rowOff>
    </xdr:to>
    <xdr:pic>
      <xdr:nvPicPr>
        <xdr:cNvPr id="2" name="Picture 1">
          <a:extLst>
            <a:ext uri="{FF2B5EF4-FFF2-40B4-BE49-F238E27FC236}">
              <a16:creationId xmlns:a16="http://schemas.microsoft.com/office/drawing/2014/main" id="{5A86F77A-4848-A94B-99D4-8468A80CA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4077" y="156308"/>
          <a:ext cx="10787185" cy="3918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16</xdr:row>
      <xdr:rowOff>127000</xdr:rowOff>
    </xdr:from>
    <xdr:to>
      <xdr:col>0</xdr:col>
      <xdr:colOff>12192000</xdr:colOff>
      <xdr:row>22</xdr:row>
      <xdr:rowOff>62072</xdr:rowOff>
    </xdr:to>
    <xdr:pic>
      <xdr:nvPicPr>
        <xdr:cNvPr id="2" name="Picture 1">
          <a:extLst>
            <a:ext uri="{FF2B5EF4-FFF2-40B4-BE49-F238E27FC236}">
              <a16:creationId xmlns:a16="http://schemas.microsoft.com/office/drawing/2014/main" id="{F3A48AF1-5204-4749-A92D-66FB777E6CCC}"/>
            </a:ext>
          </a:extLst>
        </xdr:cNvPr>
        <xdr:cNvPicPr>
          <a:picLocks noChangeAspect="1"/>
        </xdr:cNvPicPr>
      </xdr:nvPicPr>
      <xdr:blipFill>
        <a:blip xmlns:r="http://schemas.openxmlformats.org/officeDocument/2006/relationships" r:embed="rId1"/>
        <a:stretch>
          <a:fillRect/>
        </a:stretch>
      </xdr:blipFill>
      <xdr:spPr>
        <a:xfrm>
          <a:off x="0" y="15798800"/>
          <a:ext cx="12192000" cy="1154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723900</xdr:colOff>
      <xdr:row>2</xdr:row>
      <xdr:rowOff>152400</xdr:rowOff>
    </xdr:from>
    <xdr:to>
      <xdr:col>33</xdr:col>
      <xdr:colOff>177800</xdr:colOff>
      <xdr:row>11</xdr:row>
      <xdr:rowOff>165100</xdr:rowOff>
    </xdr:to>
    <xdr:pic>
      <xdr:nvPicPr>
        <xdr:cNvPr id="3" name="Picture 2">
          <a:extLst>
            <a:ext uri="{FF2B5EF4-FFF2-40B4-BE49-F238E27FC236}">
              <a16:creationId xmlns:a16="http://schemas.microsoft.com/office/drawing/2014/main" id="{FD8EB7BF-4F65-FC4B-B4FC-C7B2DD07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72300" y="1054100"/>
          <a:ext cx="7277100" cy="21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xdr:row>
      <xdr:rowOff>50800</xdr:rowOff>
    </xdr:from>
    <xdr:to>
      <xdr:col>23</xdr:col>
      <xdr:colOff>622300</xdr:colOff>
      <xdr:row>8</xdr:row>
      <xdr:rowOff>38100</xdr:rowOff>
    </xdr:to>
    <xdr:pic>
      <xdr:nvPicPr>
        <xdr:cNvPr id="2" name="Picture 1">
          <a:extLst>
            <a:ext uri="{FF2B5EF4-FFF2-40B4-BE49-F238E27FC236}">
              <a16:creationId xmlns:a16="http://schemas.microsoft.com/office/drawing/2014/main" id="{46165CD0-17DB-794C-8C2B-55C3841E1B20}"/>
            </a:ext>
          </a:extLst>
        </xdr:cNvPr>
        <xdr:cNvPicPr>
          <a:picLocks noChangeAspect="1"/>
        </xdr:cNvPicPr>
      </xdr:nvPicPr>
      <xdr:blipFill>
        <a:blip xmlns:r="http://schemas.openxmlformats.org/officeDocument/2006/relationships" r:embed="rId2"/>
        <a:stretch>
          <a:fillRect/>
        </a:stretch>
      </xdr:blipFill>
      <xdr:spPr>
        <a:xfrm>
          <a:off x="5727700" y="952500"/>
          <a:ext cx="12877800" cy="121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18</xdr:row>
      <xdr:rowOff>50800</xdr:rowOff>
    </xdr:from>
    <xdr:to>
      <xdr:col>8</xdr:col>
      <xdr:colOff>622300</xdr:colOff>
      <xdr:row>27</xdr:row>
      <xdr:rowOff>368300</xdr:rowOff>
    </xdr:to>
    <xdr:pic>
      <xdr:nvPicPr>
        <xdr:cNvPr id="2" name="Picture 2">
          <a:extLst>
            <a:ext uri="{FF2B5EF4-FFF2-40B4-BE49-F238E27FC236}">
              <a16:creationId xmlns:a16="http://schemas.microsoft.com/office/drawing/2014/main" id="{39849BE3-D6FE-FC4F-81C2-6556125DD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3900" y="4191000"/>
          <a:ext cx="7277100" cy="21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chersian.chua@inte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2A47-B93D-1546-A8B4-3645D2DCA59D}">
  <dimension ref="A1:G32"/>
  <sheetViews>
    <sheetView zoomScale="170" zoomScaleNormal="170" workbookViewId="0">
      <selection activeCell="C14" sqref="C14"/>
    </sheetView>
  </sheetViews>
  <sheetFormatPr baseColWidth="10" defaultRowHeight="16" x14ac:dyDescent="0.2"/>
  <cols>
    <col min="1" max="1" width="18.33203125" bestFit="1" customWidth="1"/>
    <col min="2" max="2" width="8.83203125" bestFit="1" customWidth="1"/>
    <col min="3" max="3" width="12.5" style="6" bestFit="1" customWidth="1"/>
    <col min="4" max="4" width="11.33203125" style="6" bestFit="1" customWidth="1"/>
    <col min="5" max="5" width="8.1640625" style="6" bestFit="1" customWidth="1"/>
  </cols>
  <sheetData>
    <row r="1" spans="1:7" x14ac:dyDescent="0.2">
      <c r="A1" s="1"/>
      <c r="B1" s="1"/>
      <c r="C1" s="2" t="s">
        <v>0</v>
      </c>
      <c r="D1" s="2" t="s">
        <v>51</v>
      </c>
      <c r="E1" s="2" t="s">
        <v>1</v>
      </c>
    </row>
    <row r="2" spans="1:7" x14ac:dyDescent="0.2">
      <c r="A2" s="1" t="s">
        <v>2</v>
      </c>
      <c r="B2" s="1"/>
      <c r="C2" s="2" t="s">
        <v>3</v>
      </c>
      <c r="D2" s="2" t="s">
        <v>4</v>
      </c>
      <c r="E2" s="2" t="s">
        <v>5</v>
      </c>
    </row>
    <row r="3" spans="1:7" x14ac:dyDescent="0.2">
      <c r="A3" s="1" t="s">
        <v>6</v>
      </c>
      <c r="B3" s="1"/>
      <c r="C3" s="2">
        <v>46225</v>
      </c>
      <c r="D3" s="2"/>
      <c r="E3" s="2"/>
    </row>
    <row r="4" spans="1:7" x14ac:dyDescent="0.2">
      <c r="A4" s="1" t="s">
        <v>7</v>
      </c>
      <c r="B4" s="1" t="s">
        <v>8</v>
      </c>
      <c r="C4" s="2">
        <v>40</v>
      </c>
      <c r="D4" s="3">
        <f>D5*D6/1024</f>
        <v>510.73446327683621</v>
      </c>
      <c r="E4" s="3">
        <f>E5*E6/1024</f>
        <v>151.41242937853107</v>
      </c>
    </row>
    <row r="5" spans="1:7" ht="19" x14ac:dyDescent="0.2">
      <c r="A5" s="1" t="s">
        <v>9</v>
      </c>
      <c r="B5" s="1" t="s">
        <v>10</v>
      </c>
      <c r="C5" s="2">
        <v>1.77</v>
      </c>
      <c r="D5" s="2">
        <v>22.6</v>
      </c>
      <c r="E5" s="2">
        <v>6.7</v>
      </c>
    </row>
    <row r="6" spans="1:7" ht="19" x14ac:dyDescent="0.2">
      <c r="A6" s="1" t="s">
        <v>11</v>
      </c>
      <c r="B6" s="1" t="s">
        <v>12</v>
      </c>
      <c r="C6" s="3">
        <f>C4*1024/C5</f>
        <v>23141.242937853109</v>
      </c>
      <c r="D6" s="3">
        <f>C6</f>
        <v>23141.242937853109</v>
      </c>
      <c r="E6" s="3">
        <f>D6</f>
        <v>23141.242937853109</v>
      </c>
    </row>
    <row r="7" spans="1:7" x14ac:dyDescent="0.2">
      <c r="A7" s="1" t="s">
        <v>13</v>
      </c>
      <c r="B7" s="1" t="s">
        <v>14</v>
      </c>
      <c r="C7" s="4">
        <f>C6/C3</f>
        <v>0.50062180503738474</v>
      </c>
      <c r="D7" s="2"/>
      <c r="E7" s="2"/>
    </row>
    <row r="8" spans="1:7" x14ac:dyDescent="0.2">
      <c r="A8" s="1" t="s">
        <v>15</v>
      </c>
      <c r="B8" s="1" t="s">
        <v>16</v>
      </c>
      <c r="C8" s="2">
        <f>C9*1000/C4</f>
        <v>500</v>
      </c>
      <c r="D8" s="2">
        <v>0.128</v>
      </c>
      <c r="E8" s="2">
        <v>13</v>
      </c>
    </row>
    <row r="9" spans="1:7" x14ac:dyDescent="0.2">
      <c r="A9" s="1" t="s">
        <v>17</v>
      </c>
      <c r="B9" s="1" t="s">
        <v>18</v>
      </c>
      <c r="C9" s="2">
        <v>20</v>
      </c>
      <c r="D9" s="5">
        <f>D8*D4/1000</f>
        <v>6.5374011299435042E-2</v>
      </c>
      <c r="E9" s="5">
        <f>E8*E4/1000</f>
        <v>1.9683615819209039</v>
      </c>
    </row>
    <row r="10" spans="1:7" x14ac:dyDescent="0.2">
      <c r="A10" s="1" t="s">
        <v>54</v>
      </c>
      <c r="B10" s="1" t="s">
        <v>19</v>
      </c>
      <c r="C10" s="2">
        <v>0.7</v>
      </c>
      <c r="D10" s="2">
        <v>1</v>
      </c>
      <c r="E10" s="2">
        <v>1.2</v>
      </c>
      <c r="F10">
        <f>D10/E10</f>
        <v>0.83333333333333337</v>
      </c>
      <c r="G10">
        <f>C10/E10</f>
        <v>0.58333333333333337</v>
      </c>
    </row>
    <row r="11" spans="1:7" x14ac:dyDescent="0.2">
      <c r="A11" s="1" t="s">
        <v>52</v>
      </c>
      <c r="B11" s="1" t="s">
        <v>19</v>
      </c>
      <c r="C11" s="13">
        <f>C5/$D5/C10</f>
        <v>0.11188369152970924</v>
      </c>
      <c r="D11" s="2">
        <v>1</v>
      </c>
      <c r="E11" s="13">
        <f>E5/$D5/E10</f>
        <v>0.24705014749262538</v>
      </c>
      <c r="F11">
        <f>D11/E11</f>
        <v>4.0477611940298504</v>
      </c>
      <c r="G11">
        <f>C11/E11</f>
        <v>0.45287846481876337</v>
      </c>
    </row>
    <row r="12" spans="1:7" x14ac:dyDescent="0.2">
      <c r="A12" s="1" t="s">
        <v>53</v>
      </c>
      <c r="B12" s="1" t="s">
        <v>19</v>
      </c>
      <c r="C12" s="3">
        <f>C9/$D9/C10</f>
        <v>437.04567003792658</v>
      </c>
      <c r="D12" s="2">
        <v>1</v>
      </c>
      <c r="E12" s="3">
        <f>E9/$D9/E10</f>
        <v>25.091030604719759</v>
      </c>
      <c r="F12">
        <f>D12/E12</f>
        <v>3.9854879448909308E-2</v>
      </c>
      <c r="G12">
        <f>C12/E12</f>
        <v>17.418402493029358</v>
      </c>
    </row>
    <row r="15" spans="1:7" x14ac:dyDescent="0.2">
      <c r="A15" t="s">
        <v>20</v>
      </c>
    </row>
    <row r="17" spans="1:4" x14ac:dyDescent="0.2">
      <c r="C17" s="6">
        <v>25.4</v>
      </c>
      <c r="D17" s="7">
        <f>C17*12</f>
        <v>304.79999999999995</v>
      </c>
    </row>
    <row r="18" spans="1:4" ht="19" x14ac:dyDescent="0.2">
      <c r="A18" t="s">
        <v>21</v>
      </c>
      <c r="B18" t="s">
        <v>12</v>
      </c>
      <c r="C18" s="7">
        <f>D17^2*3.1415926/4</f>
        <v>72965.87574537599</v>
      </c>
    </row>
    <row r="19" spans="1:4" x14ac:dyDescent="0.2">
      <c r="A19" t="s">
        <v>22</v>
      </c>
      <c r="C19" s="8">
        <f>C3/C18</f>
        <v>0.63351531832919006</v>
      </c>
    </row>
    <row r="20" spans="1:4" x14ac:dyDescent="0.2">
      <c r="D20" s="6">
        <f>525*84</f>
        <v>44100</v>
      </c>
    </row>
    <row r="21" spans="1:4" x14ac:dyDescent="0.2">
      <c r="A21" t="s">
        <v>23</v>
      </c>
      <c r="B21" t="s">
        <v>24</v>
      </c>
      <c r="C21" s="7">
        <f>SQRT(D17^2/2)</f>
        <v>215.52614690565966</v>
      </c>
    </row>
    <row r="22" spans="1:4" ht="19" x14ac:dyDescent="0.2">
      <c r="A22" t="s">
        <v>25</v>
      </c>
      <c r="B22" t="s">
        <v>12</v>
      </c>
      <c r="C22" s="7">
        <f>C21^2</f>
        <v>46451.51999999999</v>
      </c>
    </row>
    <row r="23" spans="1:4" x14ac:dyDescent="0.2">
      <c r="A23" t="s">
        <v>26</v>
      </c>
      <c r="B23" t="s">
        <v>24</v>
      </c>
      <c r="C23" s="9">
        <f>(C21-C24)*SQRT(2)</f>
        <v>0.744084089784526</v>
      </c>
    </row>
    <row r="24" spans="1:4" x14ac:dyDescent="0.2">
      <c r="A24" t="s">
        <v>27</v>
      </c>
      <c r="B24" t="s">
        <v>24</v>
      </c>
      <c r="C24" s="7">
        <f>SQRT(C25)</f>
        <v>215</v>
      </c>
    </row>
    <row r="25" spans="1:4" ht="19" x14ac:dyDescent="0.2">
      <c r="A25" t="s">
        <v>28</v>
      </c>
      <c r="B25" t="s">
        <v>12</v>
      </c>
      <c r="C25" s="7">
        <f>C3</f>
        <v>46225</v>
      </c>
    </row>
    <row r="26" spans="1:4" x14ac:dyDescent="0.2">
      <c r="A26" t="s">
        <v>29</v>
      </c>
      <c r="B26" t="s">
        <v>24</v>
      </c>
      <c r="C26" s="10">
        <f>C24/12</f>
        <v>17.916666666666668</v>
      </c>
      <c r="D26" s="6">
        <f>C26/800</f>
        <v>2.2395833333333334E-2</v>
      </c>
    </row>
    <row r="27" spans="1:4" x14ac:dyDescent="0.2">
      <c r="A27" t="s">
        <v>30</v>
      </c>
      <c r="B27" t="s">
        <v>24</v>
      </c>
      <c r="C27" s="10">
        <f>C24/7</f>
        <v>30.714285714285715</v>
      </c>
      <c r="D27" s="6">
        <f>C27/1060</f>
        <v>2.8975741239892185E-2</v>
      </c>
    </row>
    <row r="28" spans="1:4" ht="19" x14ac:dyDescent="0.2">
      <c r="A28" t="s">
        <v>31</v>
      </c>
      <c r="B28" t="s">
        <v>12</v>
      </c>
      <c r="C28" s="7">
        <f>C26*C27</f>
        <v>550.29761904761915</v>
      </c>
    </row>
    <row r="29" spans="1:4" ht="19" x14ac:dyDescent="0.2">
      <c r="A29" t="s">
        <v>32</v>
      </c>
      <c r="B29" t="s">
        <v>12</v>
      </c>
      <c r="C29" s="6">
        <v>525</v>
      </c>
    </row>
    <row r="30" spans="1:4" x14ac:dyDescent="0.2">
      <c r="A30" t="s">
        <v>33</v>
      </c>
      <c r="B30" t="s">
        <v>24</v>
      </c>
      <c r="C30" s="9">
        <v>0.52</v>
      </c>
    </row>
    <row r="31" spans="1:4" x14ac:dyDescent="0.2">
      <c r="A31" t="s">
        <v>34</v>
      </c>
      <c r="C31" s="7">
        <f>(C26-C30)*(C27-C30)</f>
        <v>525.27992380952389</v>
      </c>
    </row>
    <row r="32" spans="1:4" x14ac:dyDescent="0.2">
      <c r="A32" t="s">
        <v>35</v>
      </c>
      <c r="B32" t="s">
        <v>14</v>
      </c>
      <c r="C32" s="11">
        <f>1-C31/C28</f>
        <v>4.54621179015684E-2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F482-BCEF-3046-9F3D-A2F8AC4F411A}">
  <dimension ref="A1:I31"/>
  <sheetViews>
    <sheetView workbookViewId="0">
      <selection activeCell="A13" sqref="A13"/>
    </sheetView>
  </sheetViews>
  <sheetFormatPr baseColWidth="10" defaultRowHeight="16" x14ac:dyDescent="0.2"/>
  <cols>
    <col min="1" max="1" width="101.83203125" style="20" customWidth="1"/>
    <col min="2" max="2" width="19" customWidth="1"/>
    <col min="3" max="3" width="13" bestFit="1" customWidth="1"/>
    <col min="4" max="4" width="11.6640625" bestFit="1" customWidth="1"/>
    <col min="5" max="5" width="13.6640625" bestFit="1" customWidth="1"/>
  </cols>
  <sheetData>
    <row r="1" spans="1:5" x14ac:dyDescent="0.2">
      <c r="A1" s="159" t="s">
        <v>197</v>
      </c>
    </row>
    <row r="2" spans="1:5" x14ac:dyDescent="0.2">
      <c r="A2" s="159"/>
    </row>
    <row r="3" spans="1:5" x14ac:dyDescent="0.2">
      <c r="A3" s="159" t="s">
        <v>198</v>
      </c>
    </row>
    <row r="4" spans="1:5" x14ac:dyDescent="0.2">
      <c r="A4" s="159"/>
    </row>
    <row r="5" spans="1:5" ht="17" x14ac:dyDescent="0.2">
      <c r="A5" s="160" t="s">
        <v>199</v>
      </c>
    </row>
    <row r="6" spans="1:5" ht="17" x14ac:dyDescent="0.2">
      <c r="A6" s="161" t="s">
        <v>200</v>
      </c>
    </row>
    <row r="7" spans="1:5" ht="51" x14ac:dyDescent="0.2">
      <c r="A7" s="161" t="s">
        <v>201</v>
      </c>
    </row>
    <row r="8" spans="1:5" ht="17" x14ac:dyDescent="0.2">
      <c r="A8" s="161" t="s">
        <v>202</v>
      </c>
    </row>
    <row r="9" spans="1:5" x14ac:dyDescent="0.2">
      <c r="A9" s="159"/>
    </row>
    <row r="10" spans="1:5" x14ac:dyDescent="0.2">
      <c r="A10" s="159" t="s">
        <v>203</v>
      </c>
    </row>
    <row r="11" spans="1:5" x14ac:dyDescent="0.2">
      <c r="A11" s="159" t="s">
        <v>204</v>
      </c>
    </row>
    <row r="12" spans="1:5" ht="32" x14ac:dyDescent="0.2">
      <c r="A12" s="159" t="s">
        <v>205</v>
      </c>
    </row>
    <row r="13" spans="1:5" x14ac:dyDescent="0.2">
      <c r="B13" s="215" t="s">
        <v>121</v>
      </c>
      <c r="C13" s="158" t="s">
        <v>206</v>
      </c>
      <c r="D13" s="158" t="s">
        <v>206</v>
      </c>
      <c r="E13" s="158" t="s">
        <v>209</v>
      </c>
    </row>
    <row r="14" spans="1:5" x14ac:dyDescent="0.2">
      <c r="B14" s="215"/>
      <c r="C14" s="158" t="s">
        <v>207</v>
      </c>
      <c r="D14" s="158" t="s">
        <v>208</v>
      </c>
      <c r="E14" s="158"/>
    </row>
    <row r="15" spans="1:5" x14ac:dyDescent="0.2">
      <c r="B15" s="162" t="s">
        <v>124</v>
      </c>
      <c r="C15" s="158">
        <v>448</v>
      </c>
      <c r="D15" s="158" t="s">
        <v>210</v>
      </c>
      <c r="E15" s="158"/>
    </row>
    <row r="16" spans="1:5" x14ac:dyDescent="0.2">
      <c r="B16" s="162" t="s">
        <v>169</v>
      </c>
      <c r="C16" s="158">
        <v>640</v>
      </c>
      <c r="D16" s="158" t="s">
        <v>211</v>
      </c>
      <c r="E16" s="158"/>
    </row>
    <row r="17" spans="1:9" x14ac:dyDescent="0.2">
      <c r="B17" s="162" t="s">
        <v>123</v>
      </c>
      <c r="C17" s="158" t="s">
        <v>170</v>
      </c>
      <c r="D17" s="158"/>
      <c r="E17" s="158"/>
    </row>
    <row r="18" spans="1:9" x14ac:dyDescent="0.2">
      <c r="A18" s="163"/>
      <c r="B18" s="164"/>
      <c r="C18" s="164"/>
      <c r="D18" s="164"/>
      <c r="E18" s="164"/>
      <c r="F18" s="164"/>
      <c r="G18" s="164"/>
      <c r="H18" s="164"/>
      <c r="I18" s="164"/>
    </row>
    <row r="19" spans="1:9" x14ac:dyDescent="0.2">
      <c r="A19" s="159" t="s">
        <v>212</v>
      </c>
      <c r="B19" s="164"/>
      <c r="C19" s="164"/>
      <c r="D19" s="164"/>
      <c r="E19" s="164"/>
      <c r="F19" s="164"/>
      <c r="G19" s="164"/>
      <c r="H19" s="164"/>
      <c r="I19" s="164"/>
    </row>
    <row r="20" spans="1:9" x14ac:dyDescent="0.2">
      <c r="A20" s="159"/>
      <c r="B20" s="164"/>
      <c r="C20" s="164"/>
      <c r="D20" s="164"/>
      <c r="E20" s="164"/>
      <c r="F20" s="164"/>
      <c r="G20" s="164"/>
      <c r="H20" s="164"/>
      <c r="I20" s="164"/>
    </row>
    <row r="21" spans="1:9" x14ac:dyDescent="0.2">
      <c r="B21" s="164"/>
      <c r="C21" s="164"/>
      <c r="D21" s="164"/>
      <c r="E21" s="164"/>
      <c r="F21" s="164"/>
      <c r="G21" s="164"/>
      <c r="H21" s="164"/>
      <c r="I21" s="164"/>
    </row>
    <row r="22" spans="1:9" x14ac:dyDescent="0.2">
      <c r="B22" s="164"/>
      <c r="C22" s="164"/>
      <c r="D22" s="164"/>
      <c r="E22" s="164"/>
      <c r="F22" s="164"/>
      <c r="G22" s="164"/>
      <c r="H22" s="164"/>
      <c r="I22" s="164"/>
    </row>
    <row r="23" spans="1:9" x14ac:dyDescent="0.2">
      <c r="B23" s="164"/>
      <c r="C23" s="164"/>
      <c r="D23" s="164"/>
      <c r="E23" s="164"/>
      <c r="F23" s="164"/>
      <c r="G23" s="164"/>
      <c r="H23" s="164"/>
      <c r="I23" s="164"/>
    </row>
    <row r="24" spans="1:9" x14ac:dyDescent="0.2">
      <c r="B24" s="164"/>
      <c r="C24" s="164"/>
      <c r="D24" s="164"/>
      <c r="E24" s="164"/>
      <c r="F24" s="164"/>
      <c r="G24" s="164"/>
      <c r="H24" s="164"/>
      <c r="I24" s="164"/>
    </row>
    <row r="25" spans="1:9" x14ac:dyDescent="0.2">
      <c r="B25" s="164"/>
      <c r="C25" s="164"/>
      <c r="D25" s="164"/>
      <c r="E25" s="164"/>
      <c r="F25" s="164"/>
      <c r="G25" s="164"/>
      <c r="H25" s="164"/>
      <c r="I25" s="164"/>
    </row>
    <row r="26" spans="1:9" x14ac:dyDescent="0.2">
      <c r="B26" s="164"/>
      <c r="C26" s="164"/>
      <c r="D26" s="164"/>
      <c r="E26" s="164"/>
      <c r="F26" s="164"/>
      <c r="G26" s="164"/>
      <c r="H26" s="164"/>
      <c r="I26" s="164"/>
    </row>
    <row r="27" spans="1:9" x14ac:dyDescent="0.2">
      <c r="B27" s="164"/>
      <c r="C27" s="164"/>
      <c r="D27" s="164"/>
      <c r="E27" s="164"/>
      <c r="F27" s="164"/>
      <c r="G27" s="164"/>
      <c r="H27" s="164"/>
      <c r="I27" s="164"/>
    </row>
    <row r="28" spans="1:9" ht="39" x14ac:dyDescent="0.4">
      <c r="A28" s="159" t="s">
        <v>213</v>
      </c>
      <c r="B28" s="164"/>
      <c r="C28" s="164"/>
      <c r="D28" s="164"/>
      <c r="E28" s="164"/>
      <c r="F28" s="164"/>
      <c r="G28" s="164"/>
      <c r="H28" s="164"/>
      <c r="I28" s="164"/>
    </row>
    <row r="29" spans="1:9" x14ac:dyDescent="0.2">
      <c r="A29" s="159"/>
      <c r="B29" s="164"/>
      <c r="C29" s="164"/>
      <c r="D29" s="164"/>
      <c r="E29" s="164"/>
      <c r="F29" s="164"/>
      <c r="G29" s="164"/>
      <c r="H29" s="164"/>
      <c r="I29" s="164"/>
    </row>
    <row r="30" spans="1:9" x14ac:dyDescent="0.2">
      <c r="A30" s="159" t="s">
        <v>214</v>
      </c>
      <c r="B30" s="164"/>
      <c r="C30" s="164"/>
      <c r="D30" s="164"/>
      <c r="E30" s="164"/>
      <c r="F30" s="164"/>
      <c r="G30" s="164"/>
      <c r="H30" s="164"/>
      <c r="I30" s="164"/>
    </row>
    <row r="31" spans="1:9" x14ac:dyDescent="0.2">
      <c r="A31" s="159" t="s">
        <v>215</v>
      </c>
      <c r="B31" s="164"/>
      <c r="C31" s="164"/>
      <c r="D31" s="164"/>
      <c r="E31" s="164"/>
      <c r="F31" s="164"/>
      <c r="G31" s="164"/>
      <c r="H31" s="164"/>
      <c r="I31" s="164"/>
    </row>
  </sheetData>
  <mergeCells count="1">
    <mergeCell ref="B13:B14"/>
  </mergeCells>
  <hyperlinks>
    <hyperlink ref="A5" r:id="rId1" tooltip="mailto:chersian.chua@intel.com" display="mailto:chersian.chua@intel.com" xr:uid="{C393336A-E22D-CF4F-9900-DB37268C807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3243-F288-3546-944F-6F4BF7FA0624}">
  <dimension ref="B2:I8"/>
  <sheetViews>
    <sheetView topLeftCell="A17" workbookViewId="0">
      <selection activeCell="H17" sqref="H17"/>
    </sheetView>
  </sheetViews>
  <sheetFormatPr baseColWidth="10" defaultRowHeight="16" x14ac:dyDescent="0.2"/>
  <cols>
    <col min="1" max="1" width="3.5" customWidth="1"/>
    <col min="2" max="2" width="16.6640625" customWidth="1"/>
    <col min="3" max="3" width="14.5" customWidth="1"/>
    <col min="4" max="4" width="14.33203125" customWidth="1"/>
    <col min="5" max="5" width="14.83203125" customWidth="1"/>
    <col min="6" max="6" width="16" customWidth="1"/>
    <col min="7" max="7" width="17.1640625" customWidth="1"/>
    <col min="8" max="8" width="17.5" customWidth="1"/>
    <col min="9" max="9" width="48.6640625" bestFit="1" customWidth="1"/>
  </cols>
  <sheetData>
    <row r="2" spans="2:9" ht="17" thickBot="1" x14ac:dyDescent="0.25"/>
    <row r="3" spans="2:9" s="20" customFormat="1" ht="25" thickTop="1" x14ac:dyDescent="0.25">
      <c r="B3" s="21" t="s">
        <v>2</v>
      </c>
      <c r="C3" s="22" t="s">
        <v>55</v>
      </c>
      <c r="D3" s="22" t="s">
        <v>56</v>
      </c>
      <c r="E3" s="22" t="s">
        <v>57</v>
      </c>
      <c r="F3" s="22" t="s">
        <v>58</v>
      </c>
      <c r="G3" s="22" t="s">
        <v>52</v>
      </c>
      <c r="H3" s="22" t="s">
        <v>53</v>
      </c>
      <c r="I3" s="23" t="s">
        <v>59</v>
      </c>
    </row>
    <row r="4" spans="2:9" s="20" customFormat="1" ht="22" x14ac:dyDescent="0.25">
      <c r="B4" s="14" t="s">
        <v>60</v>
      </c>
      <c r="C4" s="15">
        <v>2021</v>
      </c>
      <c r="D4" s="15">
        <v>1.77</v>
      </c>
      <c r="E4" s="15">
        <v>500</v>
      </c>
      <c r="F4" s="15">
        <v>0.6</v>
      </c>
      <c r="G4" s="15">
        <v>0.5</v>
      </c>
      <c r="H4" s="15">
        <v>17</v>
      </c>
      <c r="I4" s="16" t="s">
        <v>61</v>
      </c>
    </row>
    <row r="5" spans="2:9" s="20" customFormat="1" ht="22" x14ac:dyDescent="0.25">
      <c r="B5" s="14" t="s">
        <v>5</v>
      </c>
      <c r="C5" s="15" t="s">
        <v>62</v>
      </c>
      <c r="D5" s="15">
        <v>6.7</v>
      </c>
      <c r="E5" s="15">
        <v>13</v>
      </c>
      <c r="F5" s="15">
        <v>1</v>
      </c>
      <c r="G5" s="15">
        <v>1</v>
      </c>
      <c r="H5" s="15">
        <v>1</v>
      </c>
      <c r="I5" s="16" t="s">
        <v>63</v>
      </c>
    </row>
    <row r="6" spans="2:9" s="20" customFormat="1" ht="23" thickBot="1" x14ac:dyDescent="0.3">
      <c r="B6" s="17" t="s">
        <v>51</v>
      </c>
      <c r="C6" s="18">
        <v>2022</v>
      </c>
      <c r="D6" s="18">
        <v>22.6</v>
      </c>
      <c r="E6" s="18">
        <v>0.128</v>
      </c>
      <c r="F6" s="18">
        <v>0.8</v>
      </c>
      <c r="G6" s="18">
        <v>4</v>
      </c>
      <c r="H6" s="18">
        <v>0.04</v>
      </c>
      <c r="I6" s="19" t="s">
        <v>64</v>
      </c>
    </row>
    <row r="7" spans="2:9" ht="17" thickTop="1" x14ac:dyDescent="0.2"/>
    <row r="8" spans="2:9" ht="17"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4637-9FEA-804D-A427-40FAD64B11D0}">
  <dimension ref="B1:S118"/>
  <sheetViews>
    <sheetView topLeftCell="A85" zoomScaleNormal="100" workbookViewId="0">
      <selection activeCell="E92" sqref="E92"/>
    </sheetView>
  </sheetViews>
  <sheetFormatPr baseColWidth="10" defaultRowHeight="16" x14ac:dyDescent="0.2"/>
  <cols>
    <col min="1" max="1" width="3.5" style="25" customWidth="1"/>
    <col min="2" max="2" width="16.6640625" style="25" customWidth="1"/>
    <col min="3" max="3" width="14.5" style="25" customWidth="1"/>
    <col min="4" max="6" width="14.33203125" style="25" customWidth="1"/>
    <col min="7" max="7" width="15.33203125" style="25" bestFit="1" customWidth="1"/>
    <col min="8" max="8" width="15.83203125" style="24" bestFit="1" customWidth="1"/>
    <col min="9" max="9" width="16.6640625" style="24" bestFit="1" customWidth="1"/>
    <col min="10" max="10" width="14.83203125" style="25" customWidth="1"/>
    <col min="11" max="11" width="16" style="25" bestFit="1" customWidth="1"/>
    <col min="12" max="12" width="16" style="25" customWidth="1"/>
    <col min="13" max="13" width="17.1640625" style="25" customWidth="1"/>
    <col min="14" max="19" width="17.6640625" style="25" customWidth="1"/>
    <col min="20" max="16384" width="10.83203125" style="25"/>
  </cols>
  <sheetData>
    <row r="1" spans="2:19" ht="17" thickBot="1" x14ac:dyDescent="0.25"/>
    <row r="2" spans="2:19" ht="25" x14ac:dyDescent="0.2">
      <c r="B2" s="44" t="s">
        <v>2</v>
      </c>
      <c r="C2" s="48" t="s">
        <v>55</v>
      </c>
      <c r="D2" s="48" t="s">
        <v>67</v>
      </c>
      <c r="E2" s="48" t="s">
        <v>68</v>
      </c>
      <c r="F2" s="48" t="s">
        <v>72</v>
      </c>
      <c r="G2" s="48" t="s">
        <v>66</v>
      </c>
      <c r="H2" s="48" t="s">
        <v>82</v>
      </c>
      <c r="I2" s="48" t="s">
        <v>86</v>
      </c>
      <c r="J2" s="48" t="s">
        <v>83</v>
      </c>
      <c r="K2" s="48" t="s">
        <v>85</v>
      </c>
      <c r="L2" s="27" t="s">
        <v>84</v>
      </c>
      <c r="M2" s="27" t="s">
        <v>69</v>
      </c>
      <c r="N2" s="48" t="s">
        <v>57</v>
      </c>
      <c r="O2" s="48" t="s">
        <v>73</v>
      </c>
      <c r="P2" s="48" t="s">
        <v>87</v>
      </c>
      <c r="Q2" s="48" t="s">
        <v>88</v>
      </c>
      <c r="R2" s="48" t="s">
        <v>70</v>
      </c>
      <c r="S2" s="49" t="s">
        <v>71</v>
      </c>
    </row>
    <row r="3" spans="2:19" ht="22" x14ac:dyDescent="0.2">
      <c r="B3" s="54" t="s">
        <v>65</v>
      </c>
      <c r="C3" s="26">
        <v>2021</v>
      </c>
      <c r="D3" s="26">
        <v>2.7359999999999999E-2</v>
      </c>
      <c r="E3" s="46">
        <v>12000</v>
      </c>
      <c r="F3" s="26">
        <v>0.1</v>
      </c>
      <c r="G3" s="45">
        <v>0.40849999999999997</v>
      </c>
      <c r="H3" s="26">
        <v>36</v>
      </c>
      <c r="I3" s="26">
        <f>_xlfn.FLOOR.MATH((H3*10^6/D3*G3/2^20),1)</f>
        <v>512</v>
      </c>
      <c r="J3" s="26">
        <v>1717</v>
      </c>
      <c r="K3" s="45">
        <v>0.95</v>
      </c>
      <c r="L3" s="38">
        <f>_xlfn.FLOOR.MATH(J3*K3,1)</f>
        <v>1631</v>
      </c>
      <c r="M3" s="40">
        <f>I3/H3/8</f>
        <v>1.7777777777777777</v>
      </c>
      <c r="N3" s="26">
        <v>500</v>
      </c>
      <c r="O3" s="40">
        <f>1/F3/8</f>
        <v>1.25</v>
      </c>
      <c r="P3" s="39">
        <f>N3*I3/8/1024</f>
        <v>31.25</v>
      </c>
      <c r="Q3" s="47">
        <f>E3/L3</f>
        <v>7.3574494175352543</v>
      </c>
      <c r="R3" s="46">
        <f>Q3/(I3/8/1024)</f>
        <v>117.71919068056407</v>
      </c>
      <c r="S3" s="50">
        <f>Q3/P3</f>
        <v>0.23543838136112813</v>
      </c>
    </row>
    <row r="4" spans="2:19" ht="22" x14ac:dyDescent="0.2">
      <c r="B4" s="54" t="s">
        <v>89</v>
      </c>
      <c r="C4" s="26">
        <v>2021</v>
      </c>
      <c r="D4" s="26">
        <v>2.7359999999999999E-2</v>
      </c>
      <c r="E4" s="46">
        <v>8000</v>
      </c>
      <c r="F4" s="26">
        <v>0.1</v>
      </c>
      <c r="G4" s="45">
        <v>0.40849999999999997</v>
      </c>
      <c r="H4" s="26">
        <v>36</v>
      </c>
      <c r="I4" s="26">
        <f>_xlfn.FLOOR.MATH((H4*10^6/D4*G4/2^20),1)</f>
        <v>512</v>
      </c>
      <c r="J4" s="26">
        <v>1717</v>
      </c>
      <c r="K4" s="45">
        <v>0.95</v>
      </c>
      <c r="L4" s="38">
        <f>_xlfn.FLOOR.MATH(J4*K4,1)</f>
        <v>1631</v>
      </c>
      <c r="M4" s="40">
        <f>I4/H4/8</f>
        <v>1.7777777777777777</v>
      </c>
      <c r="N4" s="26">
        <v>500</v>
      </c>
      <c r="O4" s="40">
        <f>1/F4/8</f>
        <v>1.25</v>
      </c>
      <c r="P4" s="39">
        <f>N4*I4/8/1024</f>
        <v>31.25</v>
      </c>
      <c r="Q4" s="47">
        <f>E4/L4</f>
        <v>4.9049662783568362</v>
      </c>
      <c r="R4" s="46">
        <f>Q4/(I4/8/1024)</f>
        <v>78.479460453709379</v>
      </c>
      <c r="S4" s="50">
        <f>Q4/P4</f>
        <v>0.15695892090741875</v>
      </c>
    </row>
    <row r="5" spans="2:19" ht="23" thickBot="1" x14ac:dyDescent="0.25">
      <c r="B5" s="55" t="s">
        <v>94</v>
      </c>
      <c r="C5" s="28">
        <v>2024</v>
      </c>
      <c r="D5" s="28">
        <v>1.4579999999999999E-2</v>
      </c>
      <c r="E5" s="52">
        <v>8000</v>
      </c>
      <c r="F5" s="28">
        <v>0.8</v>
      </c>
      <c r="G5" s="51">
        <v>0.5</v>
      </c>
      <c r="H5" s="28">
        <v>195.7</v>
      </c>
      <c r="I5" s="28">
        <f>_xlfn.FLOOR.MATH((H5*10^6/D5*G5/2^20),1)</f>
        <v>6400</v>
      </c>
      <c r="J5" s="28">
        <v>296</v>
      </c>
      <c r="K5" s="51">
        <v>0.95</v>
      </c>
      <c r="L5" s="41">
        <f>_xlfn.FLOOR.MATH(J5*K5,1)</f>
        <v>281</v>
      </c>
      <c r="M5" s="43">
        <f>I5/H5/8</f>
        <v>4.087889626980072</v>
      </c>
      <c r="N5" s="28">
        <v>13</v>
      </c>
      <c r="O5" s="43">
        <f>1/F5/8</f>
        <v>0.15625</v>
      </c>
      <c r="P5" s="42">
        <f>N5*I5/8/1024</f>
        <v>10.15625</v>
      </c>
      <c r="Q5" s="56">
        <f>E5/L5</f>
        <v>28.469750889679716</v>
      </c>
      <c r="R5" s="52">
        <f>Q5/(I5/8/1024)</f>
        <v>36.441281138790039</v>
      </c>
      <c r="S5" s="53">
        <f>Q5/P5</f>
        <v>2.803175472214618</v>
      </c>
    </row>
    <row r="7" spans="2:19" ht="17" thickBot="1" x14ac:dyDescent="0.25"/>
    <row r="8" spans="2:19" x14ac:dyDescent="0.2">
      <c r="B8" s="30" t="s">
        <v>74</v>
      </c>
      <c r="C8" s="31" t="s">
        <v>26</v>
      </c>
      <c r="D8" s="31" t="s">
        <v>90</v>
      </c>
      <c r="E8" s="31" t="s">
        <v>75</v>
      </c>
      <c r="F8" s="31" t="s">
        <v>76</v>
      </c>
      <c r="G8" s="31" t="s">
        <v>77</v>
      </c>
      <c r="H8" s="31" t="s">
        <v>78</v>
      </c>
      <c r="I8" s="31" t="s">
        <v>79</v>
      </c>
      <c r="J8" s="32" t="s">
        <v>80</v>
      </c>
    </row>
    <row r="9" spans="2:19" ht="19" x14ac:dyDescent="0.2">
      <c r="B9" s="33" t="s">
        <v>24</v>
      </c>
      <c r="C9" s="29" t="s">
        <v>24</v>
      </c>
      <c r="D9" s="29" t="s">
        <v>24</v>
      </c>
      <c r="E9" s="29" t="s">
        <v>24</v>
      </c>
      <c r="F9" s="29" t="s">
        <v>24</v>
      </c>
      <c r="G9" s="29" t="s">
        <v>45</v>
      </c>
      <c r="H9" s="29" t="s">
        <v>45</v>
      </c>
      <c r="I9" s="29" t="s">
        <v>12</v>
      </c>
      <c r="J9" s="34" t="s">
        <v>81</v>
      </c>
    </row>
    <row r="10" spans="2:19" ht="17" thickBot="1" x14ac:dyDescent="0.25">
      <c r="B10" s="35">
        <v>300</v>
      </c>
      <c r="C10" s="36">
        <v>3</v>
      </c>
      <c r="D10" s="36">
        <f>B10-C10*2</f>
        <v>294</v>
      </c>
      <c r="E10" s="36">
        <v>15</v>
      </c>
      <c r="F10" s="36">
        <v>13</v>
      </c>
      <c r="G10" s="36">
        <v>100</v>
      </c>
      <c r="H10" s="36">
        <v>100</v>
      </c>
      <c r="I10" s="36">
        <f>(E10+G10/1000)*(F10+H10/1000)</f>
        <v>197.81</v>
      </c>
      <c r="J10" s="37">
        <f>_xlfn.FLOOR.MATH(D10*3.1415*(D10/4/I10-1/SQRT(2*I10)),1)</f>
        <v>296</v>
      </c>
    </row>
    <row r="14" spans="2:19" ht="17" thickBot="1" x14ac:dyDescent="0.25"/>
    <row r="15" spans="2:19" ht="25" x14ac:dyDescent="0.2">
      <c r="B15" s="44" t="s">
        <v>2</v>
      </c>
      <c r="C15" s="48" t="s">
        <v>55</v>
      </c>
      <c r="D15" s="48" t="s">
        <v>67</v>
      </c>
      <c r="E15" s="48" t="s">
        <v>72</v>
      </c>
      <c r="F15" s="27" t="s">
        <v>69</v>
      </c>
      <c r="G15" s="48" t="s">
        <v>57</v>
      </c>
      <c r="H15" s="48" t="s">
        <v>73</v>
      </c>
      <c r="I15" s="48" t="s">
        <v>68</v>
      </c>
      <c r="J15" s="48" t="s">
        <v>70</v>
      </c>
      <c r="K15" s="49" t="s">
        <v>71</v>
      </c>
    </row>
    <row r="16" spans="2:19" ht="22" x14ac:dyDescent="0.2">
      <c r="B16" s="54" t="s">
        <v>65</v>
      </c>
      <c r="C16" s="26">
        <v>2021</v>
      </c>
      <c r="D16" s="26">
        <v>2.7359999999999999E-2</v>
      </c>
      <c r="E16" s="26">
        <v>0.1</v>
      </c>
      <c r="F16" s="40">
        <v>1.7777777777777777</v>
      </c>
      <c r="G16" s="26">
        <v>500</v>
      </c>
      <c r="H16" s="40">
        <v>1.25</v>
      </c>
      <c r="I16" s="46">
        <v>12000</v>
      </c>
      <c r="J16" s="46">
        <v>117.71919068056407</v>
      </c>
      <c r="K16" s="50">
        <v>0.23543838136112813</v>
      </c>
    </row>
    <row r="17" spans="2:19" ht="22" x14ac:dyDescent="0.2">
      <c r="B17" s="54" t="s">
        <v>89</v>
      </c>
      <c r="C17" s="26">
        <v>2021</v>
      </c>
      <c r="D17" s="26">
        <v>2.7359999999999999E-2</v>
      </c>
      <c r="E17" s="26">
        <v>0.1</v>
      </c>
      <c r="F17" s="40">
        <v>1.7777777777777777</v>
      </c>
      <c r="G17" s="26">
        <v>500</v>
      </c>
      <c r="H17" s="40">
        <v>1.25</v>
      </c>
      <c r="I17" s="46">
        <v>8000</v>
      </c>
      <c r="J17" s="46">
        <v>78.479460453709379</v>
      </c>
      <c r="K17" s="50">
        <v>0.15695892090741875</v>
      </c>
    </row>
    <row r="18" spans="2:19" ht="23" thickBot="1" x14ac:dyDescent="0.25">
      <c r="B18" s="55" t="s">
        <v>94</v>
      </c>
      <c r="C18" s="28">
        <v>2024</v>
      </c>
      <c r="D18" s="28">
        <v>1.4579999999999999E-2</v>
      </c>
      <c r="E18" s="28">
        <v>0.8</v>
      </c>
      <c r="F18" s="43">
        <v>4.087889626980072</v>
      </c>
      <c r="G18" s="28">
        <v>13</v>
      </c>
      <c r="H18" s="43">
        <v>0.15625</v>
      </c>
      <c r="I18" s="52">
        <v>8000</v>
      </c>
      <c r="J18" s="52">
        <v>36.441281138790039</v>
      </c>
      <c r="K18" s="53">
        <v>2.803175472214618</v>
      </c>
    </row>
    <row r="26" spans="2:19" s="67" customFormat="1" x14ac:dyDescent="0.2">
      <c r="H26" s="68"/>
      <c r="I26" s="68"/>
    </row>
    <row r="30" spans="2:19" ht="17" thickBot="1" x14ac:dyDescent="0.25"/>
    <row r="31" spans="2:19" ht="25" x14ac:dyDescent="0.2">
      <c r="B31" s="44" t="s">
        <v>2</v>
      </c>
      <c r="C31" s="48" t="s">
        <v>55</v>
      </c>
      <c r="D31" s="48" t="s">
        <v>67</v>
      </c>
      <c r="E31" s="48" t="s">
        <v>68</v>
      </c>
      <c r="F31" s="48" t="s">
        <v>72</v>
      </c>
      <c r="G31" s="48" t="s">
        <v>66</v>
      </c>
      <c r="H31" s="48" t="s">
        <v>82</v>
      </c>
      <c r="I31" s="48" t="s">
        <v>86</v>
      </c>
      <c r="J31" s="48" t="s">
        <v>83</v>
      </c>
      <c r="K31" s="48" t="s">
        <v>85</v>
      </c>
      <c r="L31" s="27" t="s">
        <v>84</v>
      </c>
      <c r="M31" s="27" t="s">
        <v>69</v>
      </c>
      <c r="N31" s="48" t="s">
        <v>57</v>
      </c>
      <c r="O31" s="48" t="s">
        <v>73</v>
      </c>
      <c r="P31" s="48" t="s">
        <v>87</v>
      </c>
      <c r="Q31" s="48" t="s">
        <v>88</v>
      </c>
      <c r="R31" s="48" t="s">
        <v>70</v>
      </c>
      <c r="S31" s="49" t="s">
        <v>71</v>
      </c>
    </row>
    <row r="32" spans="2:19" ht="22" x14ac:dyDescent="0.2">
      <c r="B32" s="54" t="s">
        <v>65</v>
      </c>
      <c r="C32" s="26">
        <v>2021</v>
      </c>
      <c r="D32" s="26">
        <v>2.7359999999999999E-2</v>
      </c>
      <c r="E32" s="46">
        <v>12000</v>
      </c>
      <c r="F32" s="26">
        <v>0.1</v>
      </c>
      <c r="G32" s="45">
        <v>0.40849999999999997</v>
      </c>
      <c r="H32" s="26">
        <v>112.4</v>
      </c>
      <c r="I32" s="26">
        <f>_xlfn.FLOOR.MATH((H32*10^6/D32*G32/2^20),1)</f>
        <v>1600</v>
      </c>
      <c r="J32" s="26">
        <v>531</v>
      </c>
      <c r="K32" s="45">
        <v>0.95</v>
      </c>
      <c r="L32" s="38">
        <f>_xlfn.FLOOR.MATH(J32*K32,1)</f>
        <v>504</v>
      </c>
      <c r="M32" s="40">
        <f>I32/H32/8</f>
        <v>1.779359430604982</v>
      </c>
      <c r="N32" s="26">
        <v>500</v>
      </c>
      <c r="O32" s="40">
        <f>1/F32/8</f>
        <v>1.25</v>
      </c>
      <c r="P32" s="39">
        <f>N32*I32/8/1024</f>
        <v>97.65625</v>
      </c>
      <c r="Q32" s="47">
        <f>E32/L32</f>
        <v>23.80952380952381</v>
      </c>
      <c r="R32" s="46">
        <f>Q32/(I32/8/1024)</f>
        <v>121.90476190476191</v>
      </c>
      <c r="S32" s="50">
        <f>Q32/P32</f>
        <v>0.24380952380952381</v>
      </c>
    </row>
    <row r="33" spans="2:19" ht="22" x14ac:dyDescent="0.2">
      <c r="B33" s="54" t="s">
        <v>89</v>
      </c>
      <c r="C33" s="26">
        <v>2021</v>
      </c>
      <c r="D33" s="26">
        <v>2.7359999999999999E-2</v>
      </c>
      <c r="E33" s="46">
        <v>8000</v>
      </c>
      <c r="F33" s="26">
        <v>0.1</v>
      </c>
      <c r="G33" s="45">
        <v>0.40849999999999997</v>
      </c>
      <c r="H33" s="26">
        <v>112.4</v>
      </c>
      <c r="I33" s="26">
        <f>_xlfn.FLOOR.MATH((H33*10^6/D33*G33/2^20),1)</f>
        <v>1600</v>
      </c>
      <c r="J33" s="26">
        <v>531</v>
      </c>
      <c r="K33" s="45">
        <v>0.95</v>
      </c>
      <c r="L33" s="38">
        <f>_xlfn.FLOOR.MATH(J33*K33,1)</f>
        <v>504</v>
      </c>
      <c r="M33" s="40">
        <f>I33/H33/8</f>
        <v>1.779359430604982</v>
      </c>
      <c r="N33" s="26">
        <v>500</v>
      </c>
      <c r="O33" s="40">
        <f>1/F33/8</f>
        <v>1.25</v>
      </c>
      <c r="P33" s="39">
        <f>N33*I33/8/1024</f>
        <v>97.65625</v>
      </c>
      <c r="Q33" s="47">
        <f>E33/L33</f>
        <v>15.873015873015873</v>
      </c>
      <c r="R33" s="46">
        <f>Q33/(I33/8/1024)</f>
        <v>81.269841269841265</v>
      </c>
      <c r="S33" s="50">
        <f>Q33/P33</f>
        <v>0.16253968253968254</v>
      </c>
    </row>
    <row r="34" spans="2:19" ht="23" thickBot="1" x14ac:dyDescent="0.25">
      <c r="B34" s="55" t="s">
        <v>94</v>
      </c>
      <c r="C34" s="28">
        <v>2024</v>
      </c>
      <c r="D34" s="28">
        <v>1.4579999999999999E-2</v>
      </c>
      <c r="E34" s="52">
        <v>8000</v>
      </c>
      <c r="F34" s="28">
        <v>0.8</v>
      </c>
      <c r="G34" s="51">
        <v>0.5</v>
      </c>
      <c r="H34" s="28">
        <v>97.87</v>
      </c>
      <c r="I34" s="28">
        <f>_xlfn.FLOOR.MATH((H34*10^6/D34*G34/2^20),1)</f>
        <v>3200</v>
      </c>
      <c r="J34" s="28">
        <v>614</v>
      </c>
      <c r="K34" s="51">
        <v>0.95</v>
      </c>
      <c r="L34" s="41">
        <f>_xlfn.FLOOR.MATH(J34*K34,1)</f>
        <v>583</v>
      </c>
      <c r="M34" s="43">
        <f>I34/H34/8</f>
        <v>4.0870542556452438</v>
      </c>
      <c r="N34" s="28">
        <v>13</v>
      </c>
      <c r="O34" s="43">
        <f>1/F34/8</f>
        <v>0.15625</v>
      </c>
      <c r="P34" s="42">
        <f>N34*I34/8/1024</f>
        <v>5.078125</v>
      </c>
      <c r="Q34" s="56">
        <f>E34/L34</f>
        <v>13.722126929674099</v>
      </c>
      <c r="R34" s="52">
        <f>Q34/(I34/8/1024)</f>
        <v>35.128644939965696</v>
      </c>
      <c r="S34" s="53">
        <f>Q34/P34</f>
        <v>2.7022034569204378</v>
      </c>
    </row>
    <row r="36" spans="2:19" ht="17" thickBot="1" x14ac:dyDescent="0.25"/>
    <row r="37" spans="2:19" x14ac:dyDescent="0.2">
      <c r="B37" s="30" t="s">
        <v>74</v>
      </c>
      <c r="C37" s="31" t="s">
        <v>26</v>
      </c>
      <c r="D37" s="31" t="s">
        <v>90</v>
      </c>
      <c r="E37" s="31" t="s">
        <v>75</v>
      </c>
      <c r="F37" s="31" t="s">
        <v>76</v>
      </c>
      <c r="G37" s="31" t="s">
        <v>77</v>
      </c>
      <c r="H37" s="31" t="s">
        <v>78</v>
      </c>
      <c r="I37" s="31" t="s">
        <v>79</v>
      </c>
      <c r="J37" s="32" t="s">
        <v>80</v>
      </c>
    </row>
    <row r="38" spans="2:19" ht="19" x14ac:dyDescent="0.2">
      <c r="B38" s="33" t="s">
        <v>24</v>
      </c>
      <c r="C38" s="29" t="s">
        <v>24</v>
      </c>
      <c r="D38" s="29" t="s">
        <v>24</v>
      </c>
      <c r="E38" s="29" t="s">
        <v>24</v>
      </c>
      <c r="F38" s="29" t="s">
        <v>24</v>
      </c>
      <c r="G38" s="29" t="s">
        <v>45</v>
      </c>
      <c r="H38" s="29" t="s">
        <v>45</v>
      </c>
      <c r="I38" s="29" t="s">
        <v>12</v>
      </c>
      <c r="J38" s="34" t="s">
        <v>81</v>
      </c>
    </row>
    <row r="39" spans="2:19" ht="17" thickBot="1" x14ac:dyDescent="0.25">
      <c r="B39" s="35">
        <v>300</v>
      </c>
      <c r="C39" s="36">
        <v>3</v>
      </c>
      <c r="D39" s="36">
        <f>B39-C39*2</f>
        <v>294</v>
      </c>
      <c r="E39" s="36">
        <v>10</v>
      </c>
      <c r="F39" s="57">
        <f>H32/E39</f>
        <v>11.24</v>
      </c>
      <c r="G39" s="36">
        <v>100</v>
      </c>
      <c r="H39" s="36">
        <v>100</v>
      </c>
      <c r="I39" s="36">
        <f>(E39+G39/1000)*(F39+H39/1000)</f>
        <v>114.53399999999999</v>
      </c>
      <c r="J39" s="37">
        <f>_xlfn.FLOOR.MATH(D39*3.1415*(D39/4/I39-1/SQRT(2*I39)),1)</f>
        <v>531</v>
      </c>
    </row>
    <row r="43" spans="2:19" ht="17" thickBot="1" x14ac:dyDescent="0.25"/>
    <row r="44" spans="2:19" ht="25" x14ac:dyDescent="0.2">
      <c r="B44" s="44" t="s">
        <v>2</v>
      </c>
      <c r="C44" s="48" t="s">
        <v>55</v>
      </c>
      <c r="D44" s="48" t="s">
        <v>67</v>
      </c>
      <c r="E44" s="48" t="s">
        <v>72</v>
      </c>
      <c r="F44" s="27" t="s">
        <v>69</v>
      </c>
      <c r="G44" s="48" t="s">
        <v>57</v>
      </c>
      <c r="H44" s="48" t="s">
        <v>73</v>
      </c>
      <c r="I44" s="48" t="s">
        <v>68</v>
      </c>
      <c r="J44" s="48" t="s">
        <v>70</v>
      </c>
      <c r="K44" s="49" t="s">
        <v>71</v>
      </c>
    </row>
    <row r="45" spans="2:19" ht="22" x14ac:dyDescent="0.2">
      <c r="B45" s="54" t="s">
        <v>65</v>
      </c>
      <c r="C45" s="26">
        <v>2021</v>
      </c>
      <c r="D45" s="26">
        <v>2.7359999999999999E-2</v>
      </c>
      <c r="E45" s="26">
        <v>0.1</v>
      </c>
      <c r="F45" s="40">
        <v>1.7777777777777777</v>
      </c>
      <c r="G45" s="26">
        <v>500</v>
      </c>
      <c r="H45" s="40">
        <v>1.25</v>
      </c>
      <c r="I45" s="46">
        <v>12000</v>
      </c>
      <c r="J45" s="46">
        <v>121.90476190476191</v>
      </c>
      <c r="K45" s="50">
        <v>0.24380952380952381</v>
      </c>
    </row>
    <row r="46" spans="2:19" ht="22" x14ac:dyDescent="0.2">
      <c r="B46" s="54" t="s">
        <v>89</v>
      </c>
      <c r="C46" s="26">
        <v>2021</v>
      </c>
      <c r="D46" s="26">
        <v>2.7359999999999999E-2</v>
      </c>
      <c r="E46" s="26">
        <v>0.1</v>
      </c>
      <c r="F46" s="40">
        <v>1.7777777777777777</v>
      </c>
      <c r="G46" s="26">
        <v>500</v>
      </c>
      <c r="H46" s="40">
        <v>1.25</v>
      </c>
      <c r="I46" s="46">
        <v>8000</v>
      </c>
      <c r="J46" s="46">
        <v>81.269841269841265</v>
      </c>
      <c r="K46" s="50">
        <v>0.16253968253968254</v>
      </c>
    </row>
    <row r="47" spans="2:19" ht="23" thickBot="1" x14ac:dyDescent="0.25">
      <c r="B47" s="55" t="s">
        <v>94</v>
      </c>
      <c r="C47" s="28">
        <v>2024</v>
      </c>
      <c r="D47" s="28">
        <v>1.4579999999999999E-2</v>
      </c>
      <c r="E47" s="28">
        <v>0.8</v>
      </c>
      <c r="F47" s="43">
        <v>4.087889626980072</v>
      </c>
      <c r="G47" s="28">
        <v>13</v>
      </c>
      <c r="H47" s="43">
        <v>0.15625</v>
      </c>
      <c r="I47" s="52">
        <v>8000</v>
      </c>
      <c r="J47" s="52">
        <v>35.128644939965696</v>
      </c>
      <c r="K47" s="53">
        <v>2.7022034569204378</v>
      </c>
    </row>
    <row r="50" spans="2:19" s="67" customFormat="1" x14ac:dyDescent="0.2">
      <c r="H50" s="68"/>
      <c r="I50" s="68"/>
    </row>
    <row r="52" spans="2:19" ht="17" thickBot="1" x14ac:dyDescent="0.25"/>
    <row r="53" spans="2:19" ht="25" x14ac:dyDescent="0.2">
      <c r="B53" s="44" t="s">
        <v>2</v>
      </c>
      <c r="C53" s="48" t="s">
        <v>55</v>
      </c>
      <c r="D53" s="48" t="s">
        <v>67</v>
      </c>
      <c r="E53" s="48" t="s">
        <v>68</v>
      </c>
      <c r="F53" s="48" t="s">
        <v>72</v>
      </c>
      <c r="G53" s="48" t="s">
        <v>66</v>
      </c>
      <c r="H53" s="48" t="s">
        <v>82</v>
      </c>
      <c r="I53" s="48" t="s">
        <v>86</v>
      </c>
      <c r="J53" s="48" t="s">
        <v>83</v>
      </c>
      <c r="K53" s="48" t="s">
        <v>85</v>
      </c>
      <c r="L53" s="27" t="s">
        <v>84</v>
      </c>
      <c r="M53" s="27" t="s">
        <v>69</v>
      </c>
      <c r="N53" s="48" t="s">
        <v>57</v>
      </c>
      <c r="O53" s="48" t="s">
        <v>73</v>
      </c>
      <c r="P53" s="48" t="s">
        <v>87</v>
      </c>
      <c r="Q53" s="48" t="s">
        <v>88</v>
      </c>
      <c r="R53" s="48" t="s">
        <v>70</v>
      </c>
      <c r="S53" s="49" t="s">
        <v>71</v>
      </c>
    </row>
    <row r="54" spans="2:19" ht="22" x14ac:dyDescent="0.2">
      <c r="B54" s="54" t="s">
        <v>65</v>
      </c>
      <c r="C54" s="26">
        <v>2021</v>
      </c>
      <c r="D54" s="26">
        <v>2.7359999999999999E-2</v>
      </c>
      <c r="E54" s="46">
        <v>12000</v>
      </c>
      <c r="F54" s="26">
        <v>0.1</v>
      </c>
      <c r="G54" s="45">
        <v>0.40849999999999997</v>
      </c>
      <c r="H54" s="26">
        <v>84.3</v>
      </c>
      <c r="I54" s="26">
        <f>_xlfn.FLOOR.MATH((H54*10^6/D54*G54/2^20),1)</f>
        <v>1200</v>
      </c>
      <c r="J54" s="26">
        <v>717</v>
      </c>
      <c r="K54" s="45">
        <v>0.95</v>
      </c>
      <c r="L54" s="38">
        <f>_xlfn.FLOOR.MATH(J54*K54,1)</f>
        <v>681</v>
      </c>
      <c r="M54" s="40">
        <f>I54/H54/8</f>
        <v>1.7793594306049823</v>
      </c>
      <c r="N54" s="26">
        <v>500</v>
      </c>
      <c r="O54" s="40">
        <f>1/F54/8</f>
        <v>1.25</v>
      </c>
      <c r="P54" s="39">
        <f>N54*I54/8/1024</f>
        <v>73.2421875</v>
      </c>
      <c r="Q54" s="47">
        <f>E54/L54</f>
        <v>17.621145374449338</v>
      </c>
      <c r="R54" s="46">
        <f>Q54/(I54/8/1024)</f>
        <v>120.29368575624081</v>
      </c>
      <c r="S54" s="50">
        <f>Q54/P54</f>
        <v>0.24058737151248163</v>
      </c>
    </row>
    <row r="55" spans="2:19" ht="22" x14ac:dyDescent="0.2">
      <c r="B55" s="54" t="s">
        <v>89</v>
      </c>
      <c r="C55" s="26">
        <v>2021</v>
      </c>
      <c r="D55" s="26">
        <v>2.7359999999999999E-2</v>
      </c>
      <c r="E55" s="46">
        <v>10000</v>
      </c>
      <c r="F55" s="26">
        <v>0.1</v>
      </c>
      <c r="G55" s="45">
        <v>0.46</v>
      </c>
      <c r="H55" s="26">
        <v>84.3</v>
      </c>
      <c r="I55" s="26">
        <f>_xlfn.FLOOR.MATH((H55*10^6/D55*G55/2^20),1)</f>
        <v>1351</v>
      </c>
      <c r="J55" s="26">
        <v>717</v>
      </c>
      <c r="K55" s="45">
        <v>0.95</v>
      </c>
      <c r="L55" s="38">
        <f>_xlfn.FLOOR.MATH(J55*K55,1)</f>
        <v>681</v>
      </c>
      <c r="M55" s="40">
        <f>I55/H55/8</f>
        <v>2.003262158956109</v>
      </c>
      <c r="N55" s="26">
        <v>500</v>
      </c>
      <c r="O55" s="40">
        <f>1/F55/8</f>
        <v>1.25</v>
      </c>
      <c r="P55" s="39">
        <f>N55*I55/8/1024</f>
        <v>82.45849609375</v>
      </c>
      <c r="Q55" s="47">
        <f>E55/L55</f>
        <v>14.684287812041116</v>
      </c>
      <c r="R55" s="46">
        <f>Q55/(I55/8/1024)</f>
        <v>89.040477983894021</v>
      </c>
      <c r="S55" s="50">
        <f>Q55/P55</f>
        <v>0.17808095596778806</v>
      </c>
    </row>
    <row r="56" spans="2:19" ht="23" thickBot="1" x14ac:dyDescent="0.25">
      <c r="B56" s="55" t="s">
        <v>94</v>
      </c>
      <c r="C56" s="28">
        <v>2024</v>
      </c>
      <c r="D56" s="28">
        <v>1.4579999999999999E-2</v>
      </c>
      <c r="E56" s="52">
        <v>8000</v>
      </c>
      <c r="F56" s="28">
        <v>0.8</v>
      </c>
      <c r="G56" s="51">
        <v>0.5</v>
      </c>
      <c r="H56" s="28">
        <v>97.87</v>
      </c>
      <c r="I56" s="28">
        <f>_xlfn.FLOOR.MATH((H56*10^6/D56*G56/2^20),1)</f>
        <v>3200</v>
      </c>
      <c r="J56" s="28">
        <v>614</v>
      </c>
      <c r="K56" s="51">
        <v>0.95</v>
      </c>
      <c r="L56" s="41">
        <f>_xlfn.FLOOR.MATH(J56*K56,1)</f>
        <v>583</v>
      </c>
      <c r="M56" s="43">
        <f>I56/H56/8</f>
        <v>4.0870542556452438</v>
      </c>
      <c r="N56" s="28">
        <v>13</v>
      </c>
      <c r="O56" s="43">
        <f>1/F56/8</f>
        <v>0.15625</v>
      </c>
      <c r="P56" s="42">
        <f>N56*I56/8/1024</f>
        <v>5.078125</v>
      </c>
      <c r="Q56" s="56">
        <f>E56/L56</f>
        <v>13.722126929674099</v>
      </c>
      <c r="R56" s="52">
        <f>Q56/(I56/8/1024)</f>
        <v>35.128644939965696</v>
      </c>
      <c r="S56" s="53">
        <f>Q56/P56</f>
        <v>2.7022034569204378</v>
      </c>
    </row>
    <row r="58" spans="2:19" ht="17" thickBot="1" x14ac:dyDescent="0.25"/>
    <row r="59" spans="2:19" x14ac:dyDescent="0.2">
      <c r="B59" s="30" t="s">
        <v>74</v>
      </c>
      <c r="C59" s="31" t="s">
        <v>26</v>
      </c>
      <c r="D59" s="31" t="s">
        <v>90</v>
      </c>
      <c r="E59" s="31" t="s">
        <v>75</v>
      </c>
      <c r="F59" s="31" t="s">
        <v>76</v>
      </c>
      <c r="G59" s="31" t="s">
        <v>77</v>
      </c>
      <c r="H59" s="31" t="s">
        <v>78</v>
      </c>
      <c r="I59" s="31" t="s">
        <v>79</v>
      </c>
      <c r="J59" s="32" t="s">
        <v>80</v>
      </c>
    </row>
    <row r="60" spans="2:19" ht="19" x14ac:dyDescent="0.2">
      <c r="B60" s="33" t="s">
        <v>24</v>
      </c>
      <c r="C60" s="29" t="s">
        <v>24</v>
      </c>
      <c r="D60" s="29" t="s">
        <v>24</v>
      </c>
      <c r="E60" s="29" t="s">
        <v>24</v>
      </c>
      <c r="F60" s="29" t="s">
        <v>24</v>
      </c>
      <c r="G60" s="29" t="s">
        <v>45</v>
      </c>
      <c r="H60" s="29" t="s">
        <v>45</v>
      </c>
      <c r="I60" s="29" t="s">
        <v>12</v>
      </c>
      <c r="J60" s="34" t="s">
        <v>81</v>
      </c>
    </row>
    <row r="61" spans="2:19" ht="17" thickBot="1" x14ac:dyDescent="0.25">
      <c r="B61" s="35">
        <v>300</v>
      </c>
      <c r="C61" s="36">
        <v>3</v>
      </c>
      <c r="D61" s="36">
        <f>B61-C61*2</f>
        <v>294</v>
      </c>
      <c r="E61" s="36">
        <v>9</v>
      </c>
      <c r="F61" s="57">
        <f>H54/E61</f>
        <v>9.3666666666666671</v>
      </c>
      <c r="G61" s="36">
        <v>100</v>
      </c>
      <c r="H61" s="36">
        <v>100</v>
      </c>
      <c r="I61" s="36">
        <f>(E61+G61/1000)*(F61+H61/1000)</f>
        <v>86.146666666666661</v>
      </c>
      <c r="J61" s="37">
        <f>_xlfn.FLOOR.MATH(D61*3.1415*(D61/4/I61-1/SQRT(2*I61)),1)</f>
        <v>717</v>
      </c>
    </row>
    <row r="65" spans="2:14" ht="17" thickBot="1" x14ac:dyDescent="0.25"/>
    <row r="66" spans="2:14" ht="25" x14ac:dyDescent="0.2">
      <c r="B66" s="44" t="s">
        <v>2</v>
      </c>
      <c r="C66" s="48" t="s">
        <v>55</v>
      </c>
      <c r="D66" s="48" t="s">
        <v>67</v>
      </c>
      <c r="E66" s="48" t="s">
        <v>72</v>
      </c>
      <c r="F66" s="27" t="s">
        <v>69</v>
      </c>
      <c r="G66" s="48" t="s">
        <v>57</v>
      </c>
      <c r="H66" s="48" t="s">
        <v>73</v>
      </c>
      <c r="I66" s="48" t="s">
        <v>68</v>
      </c>
      <c r="J66" s="48" t="s">
        <v>70</v>
      </c>
      <c r="K66" s="49" t="s">
        <v>71</v>
      </c>
    </row>
    <row r="67" spans="2:14" ht="22" x14ac:dyDescent="0.2">
      <c r="B67" s="54" t="s">
        <v>65</v>
      </c>
      <c r="C67" s="26">
        <v>2021</v>
      </c>
      <c r="D67" s="26">
        <v>2.7359999999999999E-2</v>
      </c>
      <c r="E67" s="26">
        <v>0.1</v>
      </c>
      <c r="F67" s="40">
        <v>1.7777777777777777</v>
      </c>
      <c r="G67" s="26">
        <v>500</v>
      </c>
      <c r="H67" s="40">
        <v>1.25</v>
      </c>
      <c r="I67" s="46">
        <v>12000</v>
      </c>
      <c r="J67" s="46">
        <v>120.29368575624081</v>
      </c>
      <c r="K67" s="50">
        <v>0.24058737151248163</v>
      </c>
    </row>
    <row r="68" spans="2:14" ht="22" x14ac:dyDescent="0.2">
      <c r="B68" s="54" t="s">
        <v>89</v>
      </c>
      <c r="C68" s="26">
        <v>2021</v>
      </c>
      <c r="D68" s="26">
        <v>2.7359999999999999E-2</v>
      </c>
      <c r="E68" s="26">
        <v>0.1</v>
      </c>
      <c r="F68" s="40">
        <v>1.7777777777777777</v>
      </c>
      <c r="G68" s="26">
        <v>500</v>
      </c>
      <c r="H68" s="40">
        <v>1.25</v>
      </c>
      <c r="I68" s="46">
        <v>8000</v>
      </c>
      <c r="J68" s="46">
        <v>80.195790504160556</v>
      </c>
      <c r="K68" s="50">
        <v>0.1603915810083211</v>
      </c>
    </row>
    <row r="69" spans="2:14" ht="23" thickBot="1" x14ac:dyDescent="0.25">
      <c r="B69" s="55" t="s">
        <v>94</v>
      </c>
      <c r="C69" s="28">
        <v>2024</v>
      </c>
      <c r="D69" s="28">
        <v>1.4579999999999999E-2</v>
      </c>
      <c r="E69" s="28">
        <v>0.8</v>
      </c>
      <c r="F69" s="43">
        <v>4.087889626980072</v>
      </c>
      <c r="G69" s="28">
        <v>13</v>
      </c>
      <c r="H69" s="43">
        <v>0.15625</v>
      </c>
      <c r="I69" s="52">
        <v>8000</v>
      </c>
      <c r="J69" s="52">
        <v>35.128644939965696</v>
      </c>
      <c r="K69" s="53">
        <v>2.7022034569204378</v>
      </c>
    </row>
    <row r="71" spans="2:14" s="67" customFormat="1" x14ac:dyDescent="0.2">
      <c r="H71" s="68"/>
      <c r="I71" s="68"/>
    </row>
    <row r="72" spans="2:14" ht="17" thickBot="1" x14ac:dyDescent="0.25"/>
    <row r="73" spans="2:14" ht="25" x14ac:dyDescent="0.2">
      <c r="B73" s="59" t="s">
        <v>2</v>
      </c>
      <c r="C73" s="48" t="s">
        <v>55</v>
      </c>
      <c r="D73" s="48" t="s">
        <v>67</v>
      </c>
      <c r="E73" s="48" t="s">
        <v>72</v>
      </c>
      <c r="F73" s="27" t="s">
        <v>69</v>
      </c>
      <c r="G73" s="48" t="s">
        <v>96</v>
      </c>
      <c r="H73" s="48" t="s">
        <v>73</v>
      </c>
      <c r="I73" s="48" t="s">
        <v>68</v>
      </c>
      <c r="J73" s="48" t="s">
        <v>70</v>
      </c>
      <c r="K73" s="49" t="s">
        <v>71</v>
      </c>
    </row>
    <row r="74" spans="2:14" ht="22" x14ac:dyDescent="0.2">
      <c r="B74" s="60" t="s">
        <v>65</v>
      </c>
      <c r="C74" s="26">
        <v>2021</v>
      </c>
      <c r="D74" s="26">
        <v>2.7359999999999999E-2</v>
      </c>
      <c r="E74" s="26">
        <v>0.1</v>
      </c>
      <c r="F74" s="40">
        <v>1.7777777777777777</v>
      </c>
      <c r="G74" s="26">
        <v>500</v>
      </c>
      <c r="H74" s="40">
        <v>1.25</v>
      </c>
      <c r="I74" s="46">
        <v>12000</v>
      </c>
      <c r="J74" s="46">
        <v>120.29368575624081</v>
      </c>
      <c r="K74" s="50">
        <v>0.24058737151248163</v>
      </c>
      <c r="M74" s="25">
        <f>1/D74/8</f>
        <v>4.5687134502923978</v>
      </c>
      <c r="N74" s="25">
        <f>F74/M74</f>
        <v>0.38911999999999997</v>
      </c>
    </row>
    <row r="75" spans="2:14" ht="22" x14ac:dyDescent="0.2">
      <c r="B75" s="60" t="s">
        <v>89</v>
      </c>
      <c r="C75" s="26">
        <v>2021</v>
      </c>
      <c r="D75" s="26">
        <v>2.7359999999999999E-2</v>
      </c>
      <c r="E75" s="26">
        <v>0.1</v>
      </c>
      <c r="F75" s="40">
        <v>1.7777777777777777</v>
      </c>
      <c r="G75" s="26">
        <v>500</v>
      </c>
      <c r="H75" s="40">
        <v>1.25</v>
      </c>
      <c r="I75" s="46">
        <v>8000</v>
      </c>
      <c r="J75" s="46">
        <v>80.195790504160556</v>
      </c>
      <c r="K75" s="50">
        <v>0.1603915810083211</v>
      </c>
      <c r="M75" s="25">
        <f>1/D75/8</f>
        <v>4.5687134502923978</v>
      </c>
      <c r="N75" s="25">
        <f>F75/M75</f>
        <v>0.38911999999999997</v>
      </c>
    </row>
    <row r="76" spans="2:14" ht="22" x14ac:dyDescent="0.2">
      <c r="B76" s="60" t="s">
        <v>94</v>
      </c>
      <c r="C76" s="26">
        <v>2024</v>
      </c>
      <c r="D76" s="26">
        <v>1.4579999999999999E-2</v>
      </c>
      <c r="E76" s="26">
        <v>0.8</v>
      </c>
      <c r="F76" s="40">
        <v>4.087889626980072</v>
      </c>
      <c r="G76" s="26">
        <v>13</v>
      </c>
      <c r="H76" s="40">
        <v>0.15625</v>
      </c>
      <c r="I76" s="46">
        <v>8000</v>
      </c>
      <c r="J76" s="46">
        <v>35.128644939965696</v>
      </c>
      <c r="K76" s="50">
        <v>2.7022034569204378</v>
      </c>
      <c r="M76" s="25">
        <f>1/D76/8</f>
        <v>8.5733882030178332</v>
      </c>
      <c r="N76" s="25">
        <f>F76/M76</f>
        <v>0.47681144609095555</v>
      </c>
    </row>
    <row r="77" spans="2:14" ht="23" thickBot="1" x14ac:dyDescent="0.25">
      <c r="B77" s="61" t="s">
        <v>95</v>
      </c>
      <c r="C77" s="28">
        <v>2021</v>
      </c>
      <c r="D77" s="28">
        <v>1.97E-3</v>
      </c>
      <c r="E77" s="28">
        <v>4.5</v>
      </c>
      <c r="F77" s="43">
        <v>22.6</v>
      </c>
      <c r="G77" s="28">
        <v>0.125</v>
      </c>
      <c r="H77" s="43">
        <f>1/E77/8</f>
        <v>2.7777777777777776E-2</v>
      </c>
      <c r="I77" s="52">
        <v>6576</v>
      </c>
      <c r="J77" s="58">
        <v>4.9000000000000004</v>
      </c>
      <c r="K77" s="53">
        <f>J77/G77</f>
        <v>39.200000000000003</v>
      </c>
      <c r="L77" s="71"/>
    </row>
    <row r="79" spans="2:14" ht="17" thickBot="1" x14ac:dyDescent="0.25"/>
    <row r="80" spans="2:14" ht="25" x14ac:dyDescent="0.2">
      <c r="B80" s="59" t="s">
        <v>2</v>
      </c>
      <c r="C80" s="48" t="s">
        <v>55</v>
      </c>
      <c r="D80" s="48" t="s">
        <v>67</v>
      </c>
      <c r="E80" s="48" t="s">
        <v>72</v>
      </c>
      <c r="F80" s="27" t="s">
        <v>69</v>
      </c>
      <c r="G80" s="48" t="s">
        <v>96</v>
      </c>
      <c r="H80" s="48" t="s">
        <v>73</v>
      </c>
      <c r="I80" s="48" t="s">
        <v>68</v>
      </c>
      <c r="J80" s="48" t="s">
        <v>70</v>
      </c>
      <c r="K80" s="49" t="s">
        <v>71</v>
      </c>
    </row>
    <row r="81" spans="2:19" ht="22" x14ac:dyDescent="0.2">
      <c r="B81" s="60" t="s">
        <v>65</v>
      </c>
      <c r="C81" s="26">
        <v>2021</v>
      </c>
      <c r="D81" s="62">
        <f t="shared" ref="D81:K84" si="0">D74/D$76</f>
        <v>1.8765432098765433</v>
      </c>
      <c r="E81" s="72">
        <f t="shared" si="0"/>
        <v>0.125</v>
      </c>
      <c r="F81" s="62">
        <f t="shared" si="0"/>
        <v>0.43488888888888882</v>
      </c>
      <c r="G81" s="72">
        <f t="shared" si="0"/>
        <v>38.46153846153846</v>
      </c>
      <c r="H81" s="72">
        <f t="shared" si="0"/>
        <v>8</v>
      </c>
      <c r="I81" s="62">
        <f t="shared" si="0"/>
        <v>1.5</v>
      </c>
      <c r="J81" s="66">
        <f t="shared" si="0"/>
        <v>3.4243759177679878</v>
      </c>
      <c r="K81" s="70">
        <f t="shared" si="0"/>
        <v>8.9033773861967702E-2</v>
      </c>
    </row>
    <row r="82" spans="2:19" ht="22" x14ac:dyDescent="0.2">
      <c r="B82" s="60" t="s">
        <v>89</v>
      </c>
      <c r="C82" s="26">
        <v>2021</v>
      </c>
      <c r="D82" s="62">
        <f t="shared" si="0"/>
        <v>1.8765432098765433</v>
      </c>
      <c r="E82" s="72">
        <f t="shared" si="0"/>
        <v>0.125</v>
      </c>
      <c r="F82" s="62">
        <f t="shared" si="0"/>
        <v>0.43488888888888882</v>
      </c>
      <c r="G82" s="72">
        <f t="shared" si="0"/>
        <v>38.46153846153846</v>
      </c>
      <c r="H82" s="72">
        <f t="shared" si="0"/>
        <v>8</v>
      </c>
      <c r="I82" s="62">
        <f t="shared" si="0"/>
        <v>1</v>
      </c>
      <c r="J82" s="66">
        <f t="shared" si="0"/>
        <v>2.2829172785119924</v>
      </c>
      <c r="K82" s="70">
        <f t="shared" si="0"/>
        <v>5.9355849241311799E-2</v>
      </c>
    </row>
    <row r="83" spans="2:19" ht="22" x14ac:dyDescent="0.2">
      <c r="B83" s="60" t="s">
        <v>94</v>
      </c>
      <c r="C83" s="26">
        <v>2024</v>
      </c>
      <c r="D83" s="26">
        <f t="shared" si="0"/>
        <v>1</v>
      </c>
      <c r="E83" s="26">
        <f t="shared" si="0"/>
        <v>1</v>
      </c>
      <c r="F83" s="26">
        <f t="shared" si="0"/>
        <v>1</v>
      </c>
      <c r="G83" s="26">
        <f t="shared" si="0"/>
        <v>1</v>
      </c>
      <c r="H83" s="26">
        <f t="shared" si="0"/>
        <v>1</v>
      </c>
      <c r="I83" s="26">
        <f t="shared" si="0"/>
        <v>1</v>
      </c>
      <c r="J83" s="26">
        <f t="shared" si="0"/>
        <v>1</v>
      </c>
      <c r="K83" s="63">
        <f t="shared" si="0"/>
        <v>1</v>
      </c>
    </row>
    <row r="84" spans="2:19" ht="23" thickBot="1" x14ac:dyDescent="0.25">
      <c r="B84" s="61" t="s">
        <v>95</v>
      </c>
      <c r="C84" s="28">
        <v>2021</v>
      </c>
      <c r="D84" s="64">
        <f t="shared" si="0"/>
        <v>0.13511659807956106</v>
      </c>
      <c r="E84" s="65">
        <f>E77/E$76</f>
        <v>5.625</v>
      </c>
      <c r="F84" s="73">
        <f t="shared" si="0"/>
        <v>5.5285250000000001</v>
      </c>
      <c r="G84" s="65">
        <f t="shared" si="0"/>
        <v>9.6153846153846159E-3</v>
      </c>
      <c r="H84" s="65">
        <f>H77/H$76</f>
        <v>0.17777777777777776</v>
      </c>
      <c r="I84" s="64">
        <f t="shared" si="0"/>
        <v>0.82199999999999995</v>
      </c>
      <c r="J84" s="64">
        <f>J77/J$76</f>
        <v>0.13948730468750001</v>
      </c>
      <c r="K84" s="69">
        <f t="shared" si="0"/>
        <v>14.506679687500002</v>
      </c>
    </row>
    <row r="87" spans="2:19" s="153" customFormat="1" ht="37" x14ac:dyDescent="0.2">
      <c r="B87" s="155" t="s">
        <v>181</v>
      </c>
      <c r="H87" s="154"/>
      <c r="I87" s="154"/>
    </row>
    <row r="89" spans="2:19" ht="17" thickBot="1" x14ac:dyDescent="0.25"/>
    <row r="90" spans="2:19" ht="25" x14ac:dyDescent="0.2">
      <c r="B90" s="44" t="s">
        <v>2</v>
      </c>
      <c r="C90" s="48" t="s">
        <v>55</v>
      </c>
      <c r="D90" s="48" t="s">
        <v>67</v>
      </c>
      <c r="E90" s="48" t="s">
        <v>68</v>
      </c>
      <c r="F90" s="48" t="s">
        <v>72</v>
      </c>
      <c r="G90" s="48" t="s">
        <v>66</v>
      </c>
      <c r="H90" s="48" t="s">
        <v>82</v>
      </c>
      <c r="I90" s="48" t="s">
        <v>86</v>
      </c>
      <c r="J90" s="48" t="s">
        <v>83</v>
      </c>
      <c r="K90" s="48" t="s">
        <v>85</v>
      </c>
      <c r="L90" s="27" t="s">
        <v>84</v>
      </c>
      <c r="M90" s="27" t="s">
        <v>69</v>
      </c>
      <c r="N90" s="48" t="s">
        <v>57</v>
      </c>
      <c r="O90" s="48" t="s">
        <v>73</v>
      </c>
      <c r="P90" s="48" t="s">
        <v>87</v>
      </c>
      <c r="Q90" s="48" t="s">
        <v>88</v>
      </c>
      <c r="R90" s="48" t="s">
        <v>70</v>
      </c>
      <c r="S90" s="49" t="s">
        <v>71</v>
      </c>
    </row>
    <row r="91" spans="2:19" ht="22" x14ac:dyDescent="0.2">
      <c r="B91" s="54" t="s">
        <v>184</v>
      </c>
      <c r="C91" s="26">
        <v>2021</v>
      </c>
      <c r="D91" s="26">
        <v>2.7359999999999999E-2</v>
      </c>
      <c r="E91" s="46">
        <v>10000</v>
      </c>
      <c r="F91" s="26">
        <v>0.1</v>
      </c>
      <c r="G91" s="45">
        <v>0.39</v>
      </c>
      <c r="H91" s="26">
        <v>84.3</v>
      </c>
      <c r="I91" s="26">
        <f>_xlfn.FLOOR.MATH((H91*10^6/D91*G91/2^20),1)</f>
        <v>1145</v>
      </c>
      <c r="J91" s="26">
        <v>717</v>
      </c>
      <c r="K91" s="45">
        <v>0.95</v>
      </c>
      <c r="L91" s="38">
        <f>_xlfn.FLOOR.MATH(J91*K91,1)</f>
        <v>681</v>
      </c>
      <c r="M91" s="40">
        <f>I91/H91/8</f>
        <v>1.697805456702254</v>
      </c>
      <c r="N91" s="26">
        <v>500</v>
      </c>
      <c r="O91" s="40">
        <f>1/F91/8</f>
        <v>1.25</v>
      </c>
      <c r="P91" s="39">
        <f>N91*I91/8/1024</f>
        <v>69.88525390625</v>
      </c>
      <c r="Q91" s="47">
        <f>E91/L91</f>
        <v>14.684287812041116</v>
      </c>
      <c r="R91" s="46">
        <f>Q91/(I91/8/1024)</f>
        <v>105.05998756003565</v>
      </c>
      <c r="S91" s="50">
        <f>Q91/P91</f>
        <v>0.2101199751200713</v>
      </c>
    </row>
    <row r="92" spans="2:19" ht="22" x14ac:dyDescent="0.2">
      <c r="B92" s="54" t="s">
        <v>185</v>
      </c>
      <c r="C92" s="26">
        <v>2021</v>
      </c>
      <c r="D92" s="26">
        <v>2.7359999999999999E-2</v>
      </c>
      <c r="E92" s="46">
        <v>6000</v>
      </c>
      <c r="F92" s="26">
        <v>0.1</v>
      </c>
      <c r="G92" s="45">
        <v>0.48</v>
      </c>
      <c r="H92" s="26">
        <v>84.3</v>
      </c>
      <c r="I92" s="26">
        <f>_xlfn.FLOOR.MATH((H92*10^6/D92*G92/2^20),1)</f>
        <v>1410</v>
      </c>
      <c r="J92" s="26">
        <v>717</v>
      </c>
      <c r="K92" s="45">
        <v>0.95</v>
      </c>
      <c r="L92" s="38">
        <f>_xlfn.FLOOR.MATH(J92*K92,1)</f>
        <v>681</v>
      </c>
      <c r="M92" s="40">
        <f>I92/H92/8</f>
        <v>2.0907473309608542</v>
      </c>
      <c r="N92" s="26">
        <v>500</v>
      </c>
      <c r="O92" s="40">
        <f>1/F92/8</f>
        <v>1.25</v>
      </c>
      <c r="P92" s="39">
        <f>N92*I92/8/1024</f>
        <v>86.0595703125</v>
      </c>
      <c r="Q92" s="47">
        <f>E92/L92</f>
        <v>8.8105726872246688</v>
      </c>
      <c r="R92" s="46">
        <f>Q92/(I92/8/1024)</f>
        <v>51.188802449464177</v>
      </c>
      <c r="S92" s="50">
        <f>Q92/P92</f>
        <v>0.10237760489892835</v>
      </c>
    </row>
    <row r="93" spans="2:19" ht="23" thickBot="1" x14ac:dyDescent="0.25">
      <c r="B93" s="55" t="s">
        <v>193</v>
      </c>
      <c r="C93" s="28">
        <v>2023</v>
      </c>
      <c r="D93" s="28">
        <v>1.4579999999999999E-2</v>
      </c>
      <c r="E93" s="52">
        <v>16628</v>
      </c>
      <c r="F93" s="28">
        <v>0.8</v>
      </c>
      <c r="G93" s="51">
        <v>0.44</v>
      </c>
      <c r="H93" s="28">
        <v>97.87</v>
      </c>
      <c r="I93" s="28">
        <f>_xlfn.FLOOR.MATH((H93*10^6/D93*G93/2^20),1)</f>
        <v>2816</v>
      </c>
      <c r="J93" s="28">
        <v>614</v>
      </c>
      <c r="K93" s="51">
        <v>0.95</v>
      </c>
      <c r="L93" s="41">
        <f>_xlfn.FLOOR.MATH(J93*K93,1)</f>
        <v>583</v>
      </c>
      <c r="M93" s="43">
        <f>I93/H93/8</f>
        <v>3.5966077449678142</v>
      </c>
      <c r="N93" s="28">
        <v>13</v>
      </c>
      <c r="O93" s="43">
        <f>1/F93/8</f>
        <v>0.15625</v>
      </c>
      <c r="P93" s="42">
        <f>N93*I93/8/1024</f>
        <v>4.46875</v>
      </c>
      <c r="Q93" s="56">
        <f>E93/L93</f>
        <v>28.521440823327616</v>
      </c>
      <c r="R93" s="52">
        <f>Q93/(I93/8/1024)</f>
        <v>82.971464213316708</v>
      </c>
      <c r="S93" s="53">
        <f>Q93/P93</f>
        <v>6.3824203241012851</v>
      </c>
    </row>
    <row r="94" spans="2:19" ht="23" thickBot="1" x14ac:dyDescent="0.25">
      <c r="B94" s="55" t="s">
        <v>194</v>
      </c>
      <c r="C94" s="28">
        <v>2023</v>
      </c>
      <c r="D94" s="28">
        <v>1.4579999999999999E-2</v>
      </c>
      <c r="E94" s="52">
        <v>6198</v>
      </c>
      <c r="F94" s="28">
        <v>0.8</v>
      </c>
      <c r="G94" s="51">
        <v>0.44</v>
      </c>
      <c r="H94" s="28">
        <v>97.87</v>
      </c>
      <c r="I94" s="28">
        <f>_xlfn.FLOOR.MATH((H94*10^6/D94*G94/2^20),1)</f>
        <v>2816</v>
      </c>
      <c r="J94" s="28">
        <v>614</v>
      </c>
      <c r="K94" s="51">
        <v>0.95</v>
      </c>
      <c r="L94" s="41">
        <f>_xlfn.FLOOR.MATH(J94*K94,1)</f>
        <v>583</v>
      </c>
      <c r="M94" s="43">
        <f>I94/H94/8</f>
        <v>3.5966077449678142</v>
      </c>
      <c r="N94" s="28">
        <v>13</v>
      </c>
      <c r="O94" s="43">
        <f>1/F94/8</f>
        <v>0.15625</v>
      </c>
      <c r="P94" s="42">
        <f>N94*I94/8/1024</f>
        <v>4.46875</v>
      </c>
      <c r="Q94" s="56">
        <f>E94/L94</f>
        <v>10.631217838765009</v>
      </c>
      <c r="R94" s="52">
        <f>Q94/(I94/8/1024)</f>
        <v>30.927179167316389</v>
      </c>
      <c r="S94" s="53">
        <f>Q94/P94</f>
        <v>2.3790137821012607</v>
      </c>
    </row>
    <row r="96" spans="2:19" ht="17" thickBot="1" x14ac:dyDescent="0.25"/>
    <row r="97" spans="2:12" x14ac:dyDescent="0.2">
      <c r="B97" s="30" t="s">
        <v>74</v>
      </c>
      <c r="C97" s="31" t="s">
        <v>26</v>
      </c>
      <c r="D97" s="31" t="s">
        <v>90</v>
      </c>
      <c r="E97" s="31" t="s">
        <v>75</v>
      </c>
      <c r="F97" s="31" t="s">
        <v>76</v>
      </c>
      <c r="G97" s="31" t="s">
        <v>77</v>
      </c>
      <c r="H97" s="31" t="s">
        <v>78</v>
      </c>
      <c r="I97" s="31" t="s">
        <v>79</v>
      </c>
      <c r="J97" s="32" t="s">
        <v>80</v>
      </c>
    </row>
    <row r="98" spans="2:12" ht="19" x14ac:dyDescent="0.2">
      <c r="B98" s="33" t="s">
        <v>24</v>
      </c>
      <c r="C98" s="29" t="s">
        <v>24</v>
      </c>
      <c r="D98" s="29" t="s">
        <v>24</v>
      </c>
      <c r="E98" s="29" t="s">
        <v>24</v>
      </c>
      <c r="F98" s="29" t="s">
        <v>24</v>
      </c>
      <c r="G98" s="29" t="s">
        <v>45</v>
      </c>
      <c r="H98" s="29" t="s">
        <v>45</v>
      </c>
      <c r="I98" s="29" t="s">
        <v>12</v>
      </c>
      <c r="J98" s="34" t="s">
        <v>81</v>
      </c>
    </row>
    <row r="99" spans="2:12" ht="17" thickBot="1" x14ac:dyDescent="0.25">
      <c r="B99" s="35">
        <v>300</v>
      </c>
      <c r="C99" s="36">
        <v>3</v>
      </c>
      <c r="D99" s="36">
        <f>B99-C99*2</f>
        <v>294</v>
      </c>
      <c r="E99" s="36">
        <v>9</v>
      </c>
      <c r="F99" s="57">
        <f>H91/E99</f>
        <v>9.3666666666666671</v>
      </c>
      <c r="G99" s="36">
        <v>100</v>
      </c>
      <c r="H99" s="36">
        <v>100</v>
      </c>
      <c r="I99" s="36">
        <f>(E99+G99/1000)*(F99+H99/1000)</f>
        <v>86.146666666666661</v>
      </c>
      <c r="J99" s="37">
        <f>_xlfn.FLOOR.MATH(D99*3.1415*(D99/4/I99-1/SQRT(2*I99)),1)</f>
        <v>717</v>
      </c>
    </row>
    <row r="103" spans="2:12" ht="17" thickBot="1" x14ac:dyDescent="0.25"/>
    <row r="104" spans="2:12" ht="25" x14ac:dyDescent="0.2">
      <c r="B104" s="44" t="s">
        <v>2</v>
      </c>
      <c r="C104" s="48" t="s">
        <v>55</v>
      </c>
      <c r="D104" s="48" t="s">
        <v>67</v>
      </c>
      <c r="E104" s="48" t="s">
        <v>68</v>
      </c>
      <c r="F104" s="48" t="s">
        <v>72</v>
      </c>
      <c r="G104" s="27" t="s">
        <v>69</v>
      </c>
      <c r="H104" s="48" t="s">
        <v>57</v>
      </c>
      <c r="I104" s="48" t="s">
        <v>73</v>
      </c>
      <c r="J104" s="48" t="s">
        <v>70</v>
      </c>
      <c r="K104" s="49" t="s">
        <v>71</v>
      </c>
    </row>
    <row r="105" spans="2:12" ht="22" x14ac:dyDescent="0.2">
      <c r="B105" s="54" t="s">
        <v>184</v>
      </c>
      <c r="C105" s="26">
        <f>C91</f>
        <v>2021</v>
      </c>
      <c r="D105" s="26">
        <f t="shared" ref="D105:F105" si="1">D91</f>
        <v>2.7359999999999999E-2</v>
      </c>
      <c r="E105" s="156">
        <f>E91</f>
        <v>10000</v>
      </c>
      <c r="F105" s="26">
        <f t="shared" si="1"/>
        <v>0.1</v>
      </c>
      <c r="G105" s="40">
        <f>M91</f>
        <v>1.697805456702254</v>
      </c>
      <c r="H105" s="38">
        <f t="shared" ref="H105:I105" si="2">N91</f>
        <v>500</v>
      </c>
      <c r="I105" s="40">
        <f t="shared" si="2"/>
        <v>1.25</v>
      </c>
      <c r="J105" s="46">
        <f t="shared" ref="J105:K108" si="3">R91</f>
        <v>105.05998756003565</v>
      </c>
      <c r="K105" s="50">
        <f t="shared" si="3"/>
        <v>0.2101199751200713</v>
      </c>
    </row>
    <row r="106" spans="2:12" ht="22" x14ac:dyDescent="0.2">
      <c r="B106" s="54" t="s">
        <v>185</v>
      </c>
      <c r="C106" s="26">
        <f t="shared" ref="C106:F106" si="4">C92</f>
        <v>2021</v>
      </c>
      <c r="D106" s="26">
        <f t="shared" si="4"/>
        <v>2.7359999999999999E-2</v>
      </c>
      <c r="E106" s="156">
        <f>E92</f>
        <v>6000</v>
      </c>
      <c r="F106" s="26">
        <f t="shared" si="4"/>
        <v>0.1</v>
      </c>
      <c r="G106" s="40">
        <f t="shared" ref="G106:I106" si="5">M92</f>
        <v>2.0907473309608542</v>
      </c>
      <c r="H106" s="38">
        <f t="shared" si="5"/>
        <v>500</v>
      </c>
      <c r="I106" s="40">
        <f t="shared" si="5"/>
        <v>1.25</v>
      </c>
      <c r="J106" s="46">
        <f t="shared" si="3"/>
        <v>51.188802449464177</v>
      </c>
      <c r="K106" s="50">
        <f t="shared" si="3"/>
        <v>0.10237760489892835</v>
      </c>
    </row>
    <row r="107" spans="2:12" ht="22" x14ac:dyDescent="0.2">
      <c r="B107" s="152" t="s">
        <v>183</v>
      </c>
      <c r="C107" s="26">
        <f t="shared" ref="C107:F107" si="6">C93</f>
        <v>2023</v>
      </c>
      <c r="D107" s="26">
        <f t="shared" si="6"/>
        <v>1.4579999999999999E-2</v>
      </c>
      <c r="E107" s="156">
        <f>E93</f>
        <v>16628</v>
      </c>
      <c r="F107" s="26">
        <f t="shared" si="6"/>
        <v>0.8</v>
      </c>
      <c r="G107" s="40">
        <f t="shared" ref="G107:I107" si="7">M93</f>
        <v>3.5966077449678142</v>
      </c>
      <c r="H107" s="38">
        <f t="shared" si="7"/>
        <v>13</v>
      </c>
      <c r="I107" s="40">
        <f t="shared" si="7"/>
        <v>0.15625</v>
      </c>
      <c r="J107" s="46">
        <f t="shared" si="3"/>
        <v>82.971464213316708</v>
      </c>
      <c r="K107" s="50">
        <f t="shared" si="3"/>
        <v>6.3824203241012851</v>
      </c>
    </row>
    <row r="108" spans="2:12" ht="23" thickBot="1" x14ac:dyDescent="0.25">
      <c r="B108" s="55" t="s">
        <v>182</v>
      </c>
      <c r="C108" s="26">
        <f t="shared" ref="C108:F108" si="8">C94</f>
        <v>2023</v>
      </c>
      <c r="D108" s="26">
        <f t="shared" si="8"/>
        <v>1.4579999999999999E-2</v>
      </c>
      <c r="E108" s="156">
        <f>E94</f>
        <v>6198</v>
      </c>
      <c r="F108" s="26">
        <f t="shared" si="8"/>
        <v>0.8</v>
      </c>
      <c r="G108" s="40">
        <f t="shared" ref="G108:I108" si="9">M94</f>
        <v>3.5966077449678142</v>
      </c>
      <c r="H108" s="38">
        <f t="shared" si="9"/>
        <v>13</v>
      </c>
      <c r="I108" s="40">
        <f t="shared" si="9"/>
        <v>0.15625</v>
      </c>
      <c r="J108" s="46">
        <f t="shared" si="3"/>
        <v>30.927179167316389</v>
      </c>
      <c r="K108" s="50">
        <f t="shared" si="3"/>
        <v>2.3790137821012607</v>
      </c>
    </row>
    <row r="109" spans="2:12" ht="23" thickBot="1" x14ac:dyDescent="0.25">
      <c r="B109" s="61" t="s">
        <v>95</v>
      </c>
      <c r="C109" s="28">
        <v>2022</v>
      </c>
      <c r="D109" s="28">
        <v>1.97E-3</v>
      </c>
      <c r="E109" s="52">
        <v>6576</v>
      </c>
      <c r="F109" s="28">
        <v>4.5</v>
      </c>
      <c r="G109" s="43">
        <v>22.6</v>
      </c>
      <c r="H109" s="28">
        <v>0.125</v>
      </c>
      <c r="I109" s="157">
        <f>1/F109/8</f>
        <v>2.7777777777777776E-2</v>
      </c>
      <c r="J109" s="58">
        <v>4.9000000000000004</v>
      </c>
      <c r="K109" s="53">
        <f>J109/H109</f>
        <v>39.200000000000003</v>
      </c>
      <c r="L109" s="71"/>
    </row>
    <row r="112" spans="2:12" ht="17" thickBot="1" x14ac:dyDescent="0.25"/>
    <row r="113" spans="2:12" ht="25" x14ac:dyDescent="0.2">
      <c r="B113" s="44" t="s">
        <v>2</v>
      </c>
      <c r="C113" s="48" t="s">
        <v>55</v>
      </c>
      <c r="D113" s="48" t="s">
        <v>186</v>
      </c>
      <c r="E113" s="48" t="s">
        <v>195</v>
      </c>
      <c r="F113" s="48" t="s">
        <v>187</v>
      </c>
      <c r="G113" s="27" t="s">
        <v>188</v>
      </c>
      <c r="H113" s="48" t="s">
        <v>189</v>
      </c>
      <c r="I113" s="48" t="s">
        <v>190</v>
      </c>
      <c r="J113" s="48" t="s">
        <v>191</v>
      </c>
      <c r="K113" s="49" t="s">
        <v>192</v>
      </c>
    </row>
    <row r="114" spans="2:12" ht="22" x14ac:dyDescent="0.2">
      <c r="B114" s="54" t="s">
        <v>184</v>
      </c>
      <c r="C114" s="26">
        <f>C105</f>
        <v>2021</v>
      </c>
      <c r="D114" s="39">
        <f t="shared" ref="D114:E118" si="10">D105/D$107</f>
        <v>1.8765432098765433</v>
      </c>
      <c r="E114" s="39">
        <f t="shared" si="10"/>
        <v>0.60139523694972341</v>
      </c>
      <c r="F114" s="39">
        <f t="shared" ref="F114:J114" si="11">F105/F$107</f>
        <v>0.125</v>
      </c>
      <c r="G114" s="39">
        <f t="shared" si="11"/>
        <v>0.4720574433166182</v>
      </c>
      <c r="H114" s="39">
        <f t="shared" si="11"/>
        <v>38.46153846153846</v>
      </c>
      <c r="I114" s="39">
        <f t="shared" si="11"/>
        <v>8</v>
      </c>
      <c r="J114" s="39">
        <f t="shared" si="11"/>
        <v>1.266218314406627</v>
      </c>
      <c r="K114" s="39">
        <f>K105/K$107</f>
        <v>3.2921676174572298E-2</v>
      </c>
    </row>
    <row r="115" spans="2:12" ht="22" x14ac:dyDescent="0.2">
      <c r="B115" s="54" t="s">
        <v>185</v>
      </c>
      <c r="C115" s="26">
        <f t="shared" ref="C115" si="12">C106</f>
        <v>2021</v>
      </c>
      <c r="D115" s="39">
        <f t="shared" si="10"/>
        <v>1.8765432098765433</v>
      </c>
      <c r="E115" s="39">
        <f t="shared" si="10"/>
        <v>0.36083714216983404</v>
      </c>
      <c r="F115" s="39">
        <f t="shared" ref="F115:K115" si="13">F106/F$107</f>
        <v>0.125</v>
      </c>
      <c r="G115" s="39">
        <f t="shared" si="13"/>
        <v>0.58131091273050794</v>
      </c>
      <c r="H115" s="39">
        <f t="shared" si="13"/>
        <v>38.46153846153846</v>
      </c>
      <c r="I115" s="39">
        <f t="shared" si="13"/>
        <v>8</v>
      </c>
      <c r="J115" s="39">
        <f t="shared" si="13"/>
        <v>0.6169446680832289</v>
      </c>
      <c r="K115" s="39">
        <f t="shared" si="13"/>
        <v>1.604056137016395E-2</v>
      </c>
    </row>
    <row r="116" spans="2:12" ht="22" x14ac:dyDescent="0.2">
      <c r="B116" s="152" t="s">
        <v>183</v>
      </c>
      <c r="C116" s="26">
        <f t="shared" ref="C116" si="14">C107</f>
        <v>2023</v>
      </c>
      <c r="D116" s="38">
        <f t="shared" si="10"/>
        <v>1</v>
      </c>
      <c r="E116" s="38">
        <f t="shared" si="10"/>
        <v>1</v>
      </c>
      <c r="F116" s="38">
        <f t="shared" ref="F116:K116" si="15">F107/F$107</f>
        <v>1</v>
      </c>
      <c r="G116" s="38">
        <f t="shared" si="15"/>
        <v>1</v>
      </c>
      <c r="H116" s="38">
        <f t="shared" si="15"/>
        <v>1</v>
      </c>
      <c r="I116" s="38">
        <f t="shared" si="15"/>
        <v>1</v>
      </c>
      <c r="J116" s="38">
        <f t="shared" si="15"/>
        <v>1</v>
      </c>
      <c r="K116" s="38">
        <f t="shared" si="15"/>
        <v>1</v>
      </c>
    </row>
    <row r="117" spans="2:12" ht="23" thickBot="1" x14ac:dyDescent="0.25">
      <c r="B117" s="55" t="s">
        <v>182</v>
      </c>
      <c r="C117" s="26">
        <f t="shared" ref="C117:C118" si="16">C108</f>
        <v>2023</v>
      </c>
      <c r="D117" s="39">
        <f t="shared" si="10"/>
        <v>1</v>
      </c>
      <c r="E117" s="39">
        <f t="shared" si="10"/>
        <v>0.37274476786143856</v>
      </c>
      <c r="F117" s="39">
        <f t="shared" ref="F117:K118" si="17">F108/F$107</f>
        <v>1</v>
      </c>
      <c r="G117" s="39">
        <f t="shared" si="17"/>
        <v>1</v>
      </c>
      <c r="H117" s="39">
        <f t="shared" si="17"/>
        <v>1</v>
      </c>
      <c r="I117" s="39">
        <f t="shared" si="17"/>
        <v>1</v>
      </c>
      <c r="J117" s="39">
        <f t="shared" si="17"/>
        <v>0.37274476786143851</v>
      </c>
      <c r="K117" s="39">
        <f t="shared" si="17"/>
        <v>0.37274476786143851</v>
      </c>
    </row>
    <row r="118" spans="2:12" ht="23" thickBot="1" x14ac:dyDescent="0.25">
      <c r="B118" s="61" t="s">
        <v>95</v>
      </c>
      <c r="C118" s="26">
        <f t="shared" si="16"/>
        <v>2022</v>
      </c>
      <c r="D118" s="39">
        <f t="shared" si="10"/>
        <v>0.13511659807956106</v>
      </c>
      <c r="E118" s="39">
        <f t="shared" si="10"/>
        <v>0.39547750781813806</v>
      </c>
      <c r="F118" s="39">
        <f t="shared" si="17"/>
        <v>5.625</v>
      </c>
      <c r="G118" s="39">
        <f t="shared" si="17"/>
        <v>6.2836988636363644</v>
      </c>
      <c r="H118" s="39">
        <f t="shared" si="17"/>
        <v>9.6153846153846159E-3</v>
      </c>
      <c r="I118" s="39">
        <f t="shared" si="17"/>
        <v>0.17777777777777776</v>
      </c>
      <c r="J118" s="39">
        <f t="shared" si="17"/>
        <v>5.9056448460428193E-2</v>
      </c>
      <c r="K118" s="39">
        <f t="shared" si="17"/>
        <v>6.141870639884532</v>
      </c>
      <c r="L118" s="7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AE6F-3CC5-F346-BD7D-B3F110BFE6A0}">
  <dimension ref="A2:J20"/>
  <sheetViews>
    <sheetView workbookViewId="0">
      <selection activeCell="J20" sqref="J20"/>
    </sheetView>
  </sheetViews>
  <sheetFormatPr baseColWidth="10" defaultRowHeight="16" x14ac:dyDescent="0.2"/>
  <cols>
    <col min="3" max="3" width="10.83203125" style="6"/>
  </cols>
  <sheetData>
    <row r="2" spans="1:4" x14ac:dyDescent="0.2">
      <c r="A2" t="s">
        <v>47</v>
      </c>
      <c r="B2" t="s">
        <v>48</v>
      </c>
      <c r="C2" s="6" t="s">
        <v>42</v>
      </c>
      <c r="D2">
        <v>7</v>
      </c>
    </row>
    <row r="3" spans="1:4" x14ac:dyDescent="0.2">
      <c r="B3" t="s">
        <v>49</v>
      </c>
      <c r="C3" s="6" t="s">
        <v>42</v>
      </c>
      <c r="D3">
        <v>12</v>
      </c>
    </row>
    <row r="4" spans="1:4" x14ac:dyDescent="0.2">
      <c r="B4" t="s">
        <v>50</v>
      </c>
      <c r="C4" s="6" t="s">
        <v>42</v>
      </c>
      <c r="D4">
        <f>D2*D3</f>
        <v>84</v>
      </c>
    </row>
    <row r="13" spans="1:4" ht="19" x14ac:dyDescent="0.2">
      <c r="A13" t="s">
        <v>36</v>
      </c>
      <c r="B13" t="s">
        <v>37</v>
      </c>
      <c r="C13" s="6" t="s">
        <v>12</v>
      </c>
      <c r="D13">
        <f>'Wafer level'!C29</f>
        <v>525</v>
      </c>
    </row>
    <row r="14" spans="1:4" x14ac:dyDescent="0.2">
      <c r="B14" t="s">
        <v>38</v>
      </c>
      <c r="C14" s="6" t="s">
        <v>24</v>
      </c>
      <c r="D14" s="12">
        <f>'Wafer level'!C26-'Wafer level'!C30</f>
        <v>17.396666666666668</v>
      </c>
    </row>
    <row r="15" spans="1:4" x14ac:dyDescent="0.2">
      <c r="B15" t="s">
        <v>39</v>
      </c>
      <c r="C15" s="6" t="s">
        <v>24</v>
      </c>
      <c r="D15" s="12">
        <f>'Wafer level'!C27-'Wafer level'!C30</f>
        <v>30.194285714285716</v>
      </c>
    </row>
    <row r="16" spans="1:4" x14ac:dyDescent="0.2">
      <c r="B16" t="s">
        <v>40</v>
      </c>
      <c r="C16" s="6" t="s">
        <v>42</v>
      </c>
      <c r="D16">
        <v>800</v>
      </c>
    </row>
    <row r="17" spans="1:10" x14ac:dyDescent="0.2">
      <c r="B17" t="s">
        <v>41</v>
      </c>
      <c r="C17" s="6" t="s">
        <v>42</v>
      </c>
      <c r="D17">
        <v>1060</v>
      </c>
    </row>
    <row r="18" spans="1:10" x14ac:dyDescent="0.2">
      <c r="B18" t="s">
        <v>46</v>
      </c>
      <c r="D18" t="e">
        <f>'Wafer level'!C4/Architecture!D21</f>
        <v>#DIV/0!</v>
      </c>
    </row>
    <row r="19" spans="1:10" x14ac:dyDescent="0.2">
      <c r="A19" t="s">
        <v>43</v>
      </c>
      <c r="B19" t="s">
        <v>44</v>
      </c>
      <c r="C19" s="6" t="s">
        <v>45</v>
      </c>
      <c r="D19" s="12">
        <f>D14*10^3/D16</f>
        <v>21.745833333333334</v>
      </c>
      <c r="J19">
        <v>40</v>
      </c>
    </row>
    <row r="20" spans="1:10" x14ac:dyDescent="0.2">
      <c r="B20" t="s">
        <v>39</v>
      </c>
      <c r="C20" s="6" t="s">
        <v>45</v>
      </c>
      <c r="D20" s="12">
        <f>D15*10^3/D17</f>
        <v>28.485175202156338</v>
      </c>
      <c r="J20">
        <f>J19/7/12*1024</f>
        <v>487.61904761904765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C79A-C14E-4944-8813-03A3EF895709}">
  <dimension ref="B1:W71"/>
  <sheetViews>
    <sheetView tabSelected="1" workbookViewId="0">
      <selection activeCell="J10" sqref="J10"/>
    </sheetView>
  </sheetViews>
  <sheetFormatPr baseColWidth="10" defaultRowHeight="16" x14ac:dyDescent="0.2"/>
  <cols>
    <col min="1" max="1" width="3.5" style="25" customWidth="1"/>
    <col min="2" max="2" width="19.6640625" style="25" bestFit="1" customWidth="1"/>
    <col min="3" max="3" width="14.5" style="25" customWidth="1"/>
    <col min="4" max="4" width="14.33203125" style="25" customWidth="1"/>
    <col min="5" max="6" width="16.83203125" style="25" bestFit="1" customWidth="1"/>
    <col min="7" max="7" width="17" style="25" bestFit="1" customWidth="1"/>
    <col min="8" max="8" width="16.83203125" style="24" bestFit="1" customWidth="1"/>
    <col min="9" max="9" width="17" style="24" bestFit="1" customWidth="1"/>
    <col min="10" max="11" width="16" style="25" bestFit="1" customWidth="1"/>
    <col min="12" max="12" width="16" style="25" customWidth="1"/>
    <col min="13" max="13" width="17.1640625" style="25" customWidth="1"/>
    <col min="14" max="21" width="17.6640625" style="25" customWidth="1"/>
    <col min="22" max="22" width="10" style="25" bestFit="1" customWidth="1"/>
    <col min="23" max="16384" width="10.83203125" style="25"/>
  </cols>
  <sheetData>
    <row r="1" spans="2:21" ht="17" thickBot="1" x14ac:dyDescent="0.25"/>
    <row r="2" spans="2:21" ht="25" x14ac:dyDescent="0.2">
      <c r="B2" s="44" t="s">
        <v>2</v>
      </c>
      <c r="C2" s="48" t="s">
        <v>55</v>
      </c>
      <c r="D2" s="48" t="s">
        <v>67</v>
      </c>
      <c r="E2" s="48" t="s">
        <v>68</v>
      </c>
      <c r="F2" s="48" t="s">
        <v>72</v>
      </c>
      <c r="G2" s="48" t="s">
        <v>66</v>
      </c>
      <c r="H2" s="48" t="s">
        <v>82</v>
      </c>
      <c r="I2" s="48" t="s">
        <v>86</v>
      </c>
      <c r="J2" s="48" t="s">
        <v>83</v>
      </c>
      <c r="K2" s="48" t="s">
        <v>85</v>
      </c>
      <c r="L2" s="27" t="s">
        <v>84</v>
      </c>
      <c r="M2" s="27" t="s">
        <v>69</v>
      </c>
      <c r="N2" s="48" t="s">
        <v>57</v>
      </c>
      <c r="O2" s="48" t="s">
        <v>73</v>
      </c>
      <c r="P2" s="48" t="s">
        <v>87</v>
      </c>
      <c r="Q2" s="48"/>
      <c r="R2" s="48" t="s">
        <v>88</v>
      </c>
      <c r="S2" s="48"/>
      <c r="T2" s="48" t="s">
        <v>70</v>
      </c>
      <c r="U2" s="49" t="s">
        <v>71</v>
      </c>
    </row>
    <row r="3" spans="2:21" ht="22" x14ac:dyDescent="0.2">
      <c r="B3" s="54" t="s">
        <v>65</v>
      </c>
      <c r="C3" s="26">
        <v>2021</v>
      </c>
      <c r="D3" s="26">
        <v>2.7359999999999999E-2</v>
      </c>
      <c r="E3" s="46">
        <v>12000</v>
      </c>
      <c r="F3" s="26">
        <v>0.1</v>
      </c>
      <c r="G3" s="45">
        <v>0.40849999999999997</v>
      </c>
      <c r="H3" s="26">
        <v>36</v>
      </c>
      <c r="I3" s="26">
        <f>_xlfn.FLOOR.MATH((H3*10^6/D3*G3/2^20),1)</f>
        <v>512</v>
      </c>
      <c r="J3" s="26">
        <v>1717</v>
      </c>
      <c r="K3" s="45">
        <v>0.95</v>
      </c>
      <c r="L3" s="38">
        <f>_xlfn.FLOOR.MATH(J3*K3,1)</f>
        <v>1631</v>
      </c>
      <c r="M3" s="40">
        <f>I3/H3/8</f>
        <v>1.7777777777777777</v>
      </c>
      <c r="N3" s="26">
        <v>500</v>
      </c>
      <c r="O3" s="40">
        <f>1/F3/8</f>
        <v>1.25</v>
      </c>
      <c r="P3" s="39">
        <f>N3*I3/8/1024</f>
        <v>31.25</v>
      </c>
      <c r="Q3" s="39"/>
      <c r="R3" s="47">
        <f>E3/L3</f>
        <v>7.3574494175352543</v>
      </c>
      <c r="S3" s="47"/>
      <c r="T3" s="46">
        <f>R3/(I3/8/1024)</f>
        <v>117.71919068056407</v>
      </c>
      <c r="U3" s="50">
        <f>R3/P3</f>
        <v>0.23543838136112813</v>
      </c>
    </row>
    <row r="4" spans="2:21" ht="22" x14ac:dyDescent="0.2">
      <c r="B4" s="54" t="s">
        <v>89</v>
      </c>
      <c r="C4" s="26">
        <v>2021</v>
      </c>
      <c r="D4" s="26">
        <v>2.7359999999999999E-2</v>
      </c>
      <c r="E4" s="46">
        <v>8000</v>
      </c>
      <c r="F4" s="26">
        <v>0.1</v>
      </c>
      <c r="G4" s="45">
        <v>0.40849999999999997</v>
      </c>
      <c r="H4" s="26">
        <v>36</v>
      </c>
      <c r="I4" s="26">
        <f>_xlfn.FLOOR.MATH((H4*10^6/D4*G4/2^20),1)</f>
        <v>512</v>
      </c>
      <c r="J4" s="26">
        <v>1717</v>
      </c>
      <c r="K4" s="45">
        <v>0.95</v>
      </c>
      <c r="L4" s="38">
        <f>_xlfn.FLOOR.MATH(J4*K4,1)</f>
        <v>1631</v>
      </c>
      <c r="M4" s="40">
        <f>I4/H4/8</f>
        <v>1.7777777777777777</v>
      </c>
      <c r="N4" s="26">
        <v>500</v>
      </c>
      <c r="O4" s="40">
        <f>1/F4/8</f>
        <v>1.25</v>
      </c>
      <c r="P4" s="39">
        <f>N4*I4/8/1024</f>
        <v>31.25</v>
      </c>
      <c r="Q4" s="39"/>
      <c r="R4" s="47">
        <f>E4/L4</f>
        <v>4.9049662783568362</v>
      </c>
      <c r="S4" s="47"/>
      <c r="T4" s="46">
        <f>R4/(I4/8/1024)</f>
        <v>78.479460453709379</v>
      </c>
      <c r="U4" s="50">
        <f>R4/P4</f>
        <v>0.15695892090741875</v>
      </c>
    </row>
    <row r="5" spans="2:21" ht="23" thickBot="1" x14ac:dyDescent="0.25">
      <c r="B5" s="55" t="s">
        <v>94</v>
      </c>
      <c r="C5" s="28">
        <v>2024</v>
      </c>
      <c r="D5" s="28">
        <v>1.4579999999999999E-2</v>
      </c>
      <c r="E5" s="52">
        <v>8000</v>
      </c>
      <c r="F5" s="28">
        <v>0.8</v>
      </c>
      <c r="G5" s="51">
        <v>0.5</v>
      </c>
      <c r="H5" s="28">
        <v>195.7</v>
      </c>
      <c r="I5" s="28">
        <f>_xlfn.FLOOR.MATH((H5*10^6/D5*G5/2^20),1)</f>
        <v>6400</v>
      </c>
      <c r="J5" s="28">
        <v>296</v>
      </c>
      <c r="K5" s="51">
        <v>0.95</v>
      </c>
      <c r="L5" s="41">
        <f>_xlfn.FLOOR.MATH(J5*K5,1)</f>
        <v>281</v>
      </c>
      <c r="M5" s="43">
        <f>I5/H5/8</f>
        <v>4.087889626980072</v>
      </c>
      <c r="N5" s="28">
        <v>13</v>
      </c>
      <c r="O5" s="43">
        <f>1/F5/8</f>
        <v>0.15625</v>
      </c>
      <c r="P5" s="42">
        <f>N5*I5/8/1024</f>
        <v>10.15625</v>
      </c>
      <c r="Q5" s="42"/>
      <c r="R5" s="56">
        <f>E5/L5</f>
        <v>28.469750889679716</v>
      </c>
      <c r="S5" s="56"/>
      <c r="T5" s="52">
        <f>R5/(I5/8/1024)</f>
        <v>36.441281138790039</v>
      </c>
      <c r="U5" s="53">
        <f>R5/P5</f>
        <v>2.803175472214618</v>
      </c>
    </row>
    <row r="7" spans="2:21" ht="17" thickBot="1" x14ac:dyDescent="0.25"/>
    <row r="8" spans="2:21" x14ac:dyDescent="0.2">
      <c r="B8" s="30" t="s">
        <v>74</v>
      </c>
      <c r="C8" s="31" t="s">
        <v>26</v>
      </c>
      <c r="D8" s="31" t="s">
        <v>90</v>
      </c>
      <c r="E8" s="31" t="s">
        <v>75</v>
      </c>
      <c r="F8" s="31" t="s">
        <v>76</v>
      </c>
      <c r="G8" s="31" t="s">
        <v>77</v>
      </c>
      <c r="H8" s="31" t="s">
        <v>78</v>
      </c>
      <c r="I8" s="31" t="s">
        <v>79</v>
      </c>
      <c r="J8" s="32" t="s">
        <v>80</v>
      </c>
    </row>
    <row r="9" spans="2:21" ht="19" x14ac:dyDescent="0.2">
      <c r="B9" s="33" t="s">
        <v>24</v>
      </c>
      <c r="C9" s="29" t="s">
        <v>24</v>
      </c>
      <c r="D9" s="29" t="s">
        <v>24</v>
      </c>
      <c r="E9" s="29" t="s">
        <v>24</v>
      </c>
      <c r="F9" s="29" t="s">
        <v>24</v>
      </c>
      <c r="G9" s="29" t="s">
        <v>45</v>
      </c>
      <c r="H9" s="29" t="s">
        <v>45</v>
      </c>
      <c r="I9" s="29" t="s">
        <v>12</v>
      </c>
      <c r="J9" s="34" t="s">
        <v>81</v>
      </c>
    </row>
    <row r="10" spans="2:21" ht="17" thickBot="1" x14ac:dyDescent="0.25">
      <c r="B10" s="35">
        <v>300</v>
      </c>
      <c r="C10" s="36">
        <v>3</v>
      </c>
      <c r="D10" s="36">
        <f>B10-C10*2</f>
        <v>294</v>
      </c>
      <c r="E10" s="36">
        <v>20</v>
      </c>
      <c r="F10" s="36">
        <v>20</v>
      </c>
      <c r="G10" s="36">
        <v>100</v>
      </c>
      <c r="H10" s="36">
        <v>100</v>
      </c>
      <c r="I10" s="36">
        <f>(E10+G10/1000)*(F10+H10/1000)</f>
        <v>404.01000000000005</v>
      </c>
      <c r="J10" s="37">
        <f>_xlfn.FLOOR.MATH(D10*3.1415*(D10/4/I10-1/SQRT(2*I10)),1)</f>
        <v>135</v>
      </c>
    </row>
    <row r="14" spans="2:21" ht="17" thickBot="1" x14ac:dyDescent="0.25"/>
    <row r="15" spans="2:21" ht="25" x14ac:dyDescent="0.2">
      <c r="B15" s="44" t="s">
        <v>2</v>
      </c>
      <c r="C15" s="48" t="s">
        <v>55</v>
      </c>
      <c r="D15" s="48" t="s">
        <v>67</v>
      </c>
      <c r="E15" s="48" t="s">
        <v>72</v>
      </c>
      <c r="F15" s="27" t="s">
        <v>69</v>
      </c>
      <c r="G15" s="48" t="s">
        <v>57</v>
      </c>
      <c r="H15" s="48" t="s">
        <v>73</v>
      </c>
      <c r="I15" s="48" t="s">
        <v>68</v>
      </c>
      <c r="J15" s="48" t="s">
        <v>70</v>
      </c>
      <c r="K15" s="49" t="s">
        <v>71</v>
      </c>
    </row>
    <row r="16" spans="2:21" ht="22" x14ac:dyDescent="0.2">
      <c r="B16" s="54" t="s">
        <v>65</v>
      </c>
      <c r="C16" s="26">
        <v>2021</v>
      </c>
      <c r="D16" s="26">
        <v>2.7359999999999999E-2</v>
      </c>
      <c r="E16" s="26">
        <v>0.1</v>
      </c>
      <c r="F16" s="40">
        <v>1.7777777777777777</v>
      </c>
      <c r="G16" s="26">
        <v>500</v>
      </c>
      <c r="H16" s="40">
        <v>1.25</v>
      </c>
      <c r="I16" s="46">
        <v>12000</v>
      </c>
      <c r="J16" s="46">
        <v>117.71919068056407</v>
      </c>
      <c r="K16" s="50">
        <v>0.23543838136112813</v>
      </c>
    </row>
    <row r="17" spans="2:22" ht="22" x14ac:dyDescent="0.2">
      <c r="B17" s="54" t="s">
        <v>89</v>
      </c>
      <c r="C17" s="26">
        <v>2021</v>
      </c>
      <c r="D17" s="26">
        <v>2.7359999999999999E-2</v>
      </c>
      <c r="E17" s="26">
        <v>0.1</v>
      </c>
      <c r="F17" s="40">
        <v>1.7777777777777777</v>
      </c>
      <c r="G17" s="26">
        <v>500</v>
      </c>
      <c r="H17" s="40">
        <v>1.25</v>
      </c>
      <c r="I17" s="46">
        <v>8000</v>
      </c>
      <c r="J17" s="46">
        <v>78.479460453709379</v>
      </c>
      <c r="K17" s="50">
        <v>0.15695892090741875</v>
      </c>
    </row>
    <row r="18" spans="2:22" ht="23" thickBot="1" x14ac:dyDescent="0.25">
      <c r="B18" s="55" t="s">
        <v>94</v>
      </c>
      <c r="C18" s="28">
        <v>2024</v>
      </c>
      <c r="D18" s="28">
        <v>1.4579999999999999E-2</v>
      </c>
      <c r="E18" s="28">
        <v>0.8</v>
      </c>
      <c r="F18" s="43">
        <v>4.087889626980072</v>
      </c>
      <c r="G18" s="28">
        <v>13</v>
      </c>
      <c r="H18" s="43">
        <v>0.15625</v>
      </c>
      <c r="I18" s="52">
        <v>8000</v>
      </c>
      <c r="J18" s="52">
        <v>36.441281138790039</v>
      </c>
      <c r="K18" s="53">
        <v>2.803175472214618</v>
      </c>
    </row>
    <row r="26" spans="2:22" s="67" customFormat="1" x14ac:dyDescent="0.2">
      <c r="H26" s="68"/>
      <c r="I26" s="68"/>
    </row>
    <row r="30" spans="2:22" ht="17" thickBot="1" x14ac:dyDescent="0.25"/>
    <row r="31" spans="2:22" ht="25" x14ac:dyDescent="0.2">
      <c r="B31" s="44" t="s">
        <v>2</v>
      </c>
      <c r="C31" s="48" t="s">
        <v>55</v>
      </c>
      <c r="D31" s="48" t="s">
        <v>67</v>
      </c>
      <c r="E31" s="48" t="s">
        <v>68</v>
      </c>
      <c r="F31" s="48" t="s">
        <v>72</v>
      </c>
      <c r="G31" s="27" t="s">
        <v>69</v>
      </c>
      <c r="H31" s="48" t="s">
        <v>98</v>
      </c>
      <c r="I31" s="48" t="s">
        <v>99</v>
      </c>
      <c r="J31" s="48" t="s">
        <v>100</v>
      </c>
      <c r="K31" s="48" t="s">
        <v>82</v>
      </c>
      <c r="L31" s="48" t="s">
        <v>83</v>
      </c>
      <c r="M31" s="48" t="s">
        <v>85</v>
      </c>
      <c r="N31" s="27" t="s">
        <v>84</v>
      </c>
      <c r="O31" s="48" t="s">
        <v>57</v>
      </c>
      <c r="P31" s="48" t="s">
        <v>73</v>
      </c>
      <c r="Q31" s="48" t="s">
        <v>116</v>
      </c>
      <c r="R31" s="48" t="s">
        <v>87</v>
      </c>
      <c r="S31" s="48" t="s">
        <v>115</v>
      </c>
      <c r="T31" s="48" t="s">
        <v>88</v>
      </c>
      <c r="U31" s="48" t="s">
        <v>70</v>
      </c>
      <c r="V31" s="49" t="s">
        <v>71</v>
      </c>
    </row>
    <row r="32" spans="2:22" ht="23" thickBot="1" x14ac:dyDescent="0.25">
      <c r="B32" s="54" t="s">
        <v>97</v>
      </c>
      <c r="C32" s="26">
        <v>2021</v>
      </c>
      <c r="D32" s="26">
        <v>2.7359999999999999E-2</v>
      </c>
      <c r="E32" s="46">
        <v>12000</v>
      </c>
      <c r="F32" s="26">
        <v>0.1</v>
      </c>
      <c r="G32" s="40">
        <v>2</v>
      </c>
      <c r="H32" s="26">
        <v>600</v>
      </c>
      <c r="I32" s="26">
        <f>H32/G32</f>
        <v>300</v>
      </c>
      <c r="J32" s="26">
        <v>100</v>
      </c>
      <c r="K32" s="26">
        <f>I32+J32</f>
        <v>400</v>
      </c>
      <c r="L32" s="26">
        <v>138</v>
      </c>
      <c r="M32" s="74">
        <v>0.432</v>
      </c>
      <c r="N32" s="38">
        <f>_xlfn.FLOOR.MATH(L32*M32,1)+1</f>
        <v>60</v>
      </c>
      <c r="O32" s="26">
        <v>500</v>
      </c>
      <c r="P32" s="40">
        <f>1/F32/8</f>
        <v>1.25</v>
      </c>
      <c r="Q32" s="43">
        <f>1/P32</f>
        <v>0.8</v>
      </c>
      <c r="R32" s="39">
        <f>O32*H32/8/1024</f>
        <v>36.62109375</v>
      </c>
      <c r="S32" s="39">
        <f>F32*R32*8</f>
        <v>29.296875</v>
      </c>
      <c r="T32" s="47">
        <f>E32/N32</f>
        <v>200</v>
      </c>
      <c r="U32" s="46">
        <f>T32/(H32/1024)</f>
        <v>341.33333333333331</v>
      </c>
      <c r="V32" s="50">
        <f>T32/R32</f>
        <v>5.4613333333333332</v>
      </c>
    </row>
    <row r="33" spans="2:23" ht="23" thickBot="1" x14ac:dyDescent="0.25">
      <c r="B33" s="54" t="s">
        <v>97</v>
      </c>
      <c r="C33" s="26">
        <v>2021</v>
      </c>
      <c r="D33" s="26">
        <v>2.7359999999999999E-2</v>
      </c>
      <c r="E33" s="46">
        <v>12000</v>
      </c>
      <c r="F33" s="26">
        <v>0.1</v>
      </c>
      <c r="G33" s="40">
        <v>1.875</v>
      </c>
      <c r="H33" s="26">
        <v>300</v>
      </c>
      <c r="I33" s="26">
        <f>H33/G33</f>
        <v>160</v>
      </c>
      <c r="J33" s="26">
        <v>140</v>
      </c>
      <c r="K33" s="26">
        <f>I33+J33</f>
        <v>300</v>
      </c>
      <c r="L33" s="26">
        <v>188</v>
      </c>
      <c r="M33" s="74">
        <v>0.49199999999999999</v>
      </c>
      <c r="N33" s="38">
        <f>_xlfn.FLOOR.MATH(L33*M33,1)</f>
        <v>92</v>
      </c>
      <c r="O33" s="26">
        <v>500</v>
      </c>
      <c r="P33" s="40">
        <f>1/F33/8</f>
        <v>1.25</v>
      </c>
      <c r="Q33" s="43">
        <f>1/P33</f>
        <v>0.8</v>
      </c>
      <c r="R33" s="39">
        <f>O33*H33/8/1024</f>
        <v>18.310546875</v>
      </c>
      <c r="S33" s="39">
        <f>F33*R33*8</f>
        <v>14.6484375</v>
      </c>
      <c r="T33" s="47">
        <f>E33/N33</f>
        <v>130.43478260869566</v>
      </c>
      <c r="U33" s="46">
        <f>T33/(H33/1024)</f>
        <v>445.21739130434781</v>
      </c>
      <c r="V33" s="50">
        <f>T33/R33</f>
        <v>7.1234782608695655</v>
      </c>
    </row>
    <row r="34" spans="2:23" ht="23" thickBot="1" x14ac:dyDescent="0.25">
      <c r="B34" s="54" t="s">
        <v>101</v>
      </c>
      <c r="C34" s="26">
        <v>2021</v>
      </c>
      <c r="D34" s="26">
        <v>2.7359999999999999E-2</v>
      </c>
      <c r="E34" s="46">
        <v>8000</v>
      </c>
      <c r="F34" s="26">
        <v>0.1</v>
      </c>
      <c r="G34" s="40">
        <v>2</v>
      </c>
      <c r="H34" s="26">
        <v>600</v>
      </c>
      <c r="I34" s="26">
        <f>H34/G34</f>
        <v>300</v>
      </c>
      <c r="J34" s="26">
        <v>100</v>
      </c>
      <c r="K34" s="26">
        <f>I34+J34</f>
        <v>400</v>
      </c>
      <c r="L34" s="26">
        <v>138</v>
      </c>
      <c r="M34" s="74">
        <v>0.5</v>
      </c>
      <c r="N34" s="38">
        <f>_xlfn.FLOOR.MATH(L34*M34,1)</f>
        <v>69</v>
      </c>
      <c r="O34" s="26">
        <v>500</v>
      </c>
      <c r="P34" s="40">
        <f>1/F34/8</f>
        <v>1.25</v>
      </c>
      <c r="Q34" s="43">
        <f>1/P34</f>
        <v>0.8</v>
      </c>
      <c r="R34" s="39">
        <f>O34*H34/8/1024</f>
        <v>36.62109375</v>
      </c>
      <c r="S34" s="39">
        <f>F34*R34*8</f>
        <v>29.296875</v>
      </c>
      <c r="T34" s="47">
        <f>E34/N34</f>
        <v>115.94202898550725</v>
      </c>
      <c r="U34" s="46">
        <f>T34/(H34/1024)</f>
        <v>197.8743961352657</v>
      </c>
      <c r="V34" s="50">
        <f>T34/R34</f>
        <v>3.1659903381642511</v>
      </c>
    </row>
    <row r="35" spans="2:23" ht="23" thickBot="1" x14ac:dyDescent="0.25">
      <c r="B35" s="54" t="s">
        <v>101</v>
      </c>
      <c r="C35" s="26">
        <v>2021</v>
      </c>
      <c r="D35" s="26">
        <v>2.7359999999999999E-2</v>
      </c>
      <c r="E35" s="46">
        <v>8000</v>
      </c>
      <c r="F35" s="26">
        <v>0.1</v>
      </c>
      <c r="G35" s="40">
        <v>1.875</v>
      </c>
      <c r="H35" s="26">
        <v>300</v>
      </c>
      <c r="I35" s="26">
        <f>H35/G35</f>
        <v>160</v>
      </c>
      <c r="J35" s="26">
        <v>140</v>
      </c>
      <c r="K35" s="26">
        <f>I35+J35</f>
        <v>300</v>
      </c>
      <c r="L35" s="26">
        <v>188</v>
      </c>
      <c r="M35" s="74">
        <v>0.55700000000000005</v>
      </c>
      <c r="N35" s="38">
        <f>_xlfn.FLOOR.MATH(L35*M35,1)+1</f>
        <v>105</v>
      </c>
      <c r="O35" s="26">
        <v>500</v>
      </c>
      <c r="P35" s="40">
        <f>1/F35/8</f>
        <v>1.25</v>
      </c>
      <c r="Q35" s="43">
        <f>1/P35</f>
        <v>0.8</v>
      </c>
      <c r="R35" s="39">
        <f>O35*H35/8/1024</f>
        <v>18.310546875</v>
      </c>
      <c r="S35" s="39">
        <f>F35*R35*8</f>
        <v>14.6484375</v>
      </c>
      <c r="T35" s="47">
        <f>E35/N35</f>
        <v>76.19047619047619</v>
      </c>
      <c r="U35" s="46">
        <f>T35/(H35/1024)</f>
        <v>260.06349206349205</v>
      </c>
      <c r="V35" s="50">
        <f>T35/R35</f>
        <v>4.1610158730158728</v>
      </c>
      <c r="W35" s="189">
        <f>U35/1024</f>
        <v>0.25396825396825395</v>
      </c>
    </row>
    <row r="36" spans="2:23" ht="23" thickBot="1" x14ac:dyDescent="0.25">
      <c r="B36" s="55" t="s">
        <v>94</v>
      </c>
      <c r="C36" s="28">
        <v>2023</v>
      </c>
      <c r="D36" s="28">
        <v>1.4579999999999999E-2</v>
      </c>
      <c r="E36" s="52">
        <v>8000</v>
      </c>
      <c r="F36" s="28">
        <v>0.8</v>
      </c>
      <c r="G36" s="43">
        <v>3.75</v>
      </c>
      <c r="H36" s="26">
        <v>600</v>
      </c>
      <c r="I36" s="26">
        <f>H36/G36</f>
        <v>160</v>
      </c>
      <c r="J36" s="26">
        <v>140</v>
      </c>
      <c r="K36" s="26">
        <f>I36+J36</f>
        <v>300</v>
      </c>
      <c r="L36" s="26">
        <v>188</v>
      </c>
      <c r="M36" s="74">
        <v>0.49199999999999999</v>
      </c>
      <c r="N36" s="38">
        <f>_xlfn.FLOOR.MATH(L36*M36,1)</f>
        <v>92</v>
      </c>
      <c r="O36" s="28">
        <v>13</v>
      </c>
      <c r="P36" s="43">
        <f>1/F36/8</f>
        <v>0.15625</v>
      </c>
      <c r="Q36" s="43">
        <f>1/P36</f>
        <v>6.4</v>
      </c>
      <c r="R36" s="42">
        <f>O36*H36/8/1024</f>
        <v>0.9521484375</v>
      </c>
      <c r="S36" s="39">
        <f>F36*R36*8</f>
        <v>6.09375</v>
      </c>
      <c r="T36" s="56">
        <f>E36/N36</f>
        <v>86.956521739130437</v>
      </c>
      <c r="U36" s="52">
        <f>T36/(H36/1024)</f>
        <v>148.40579710144928</v>
      </c>
      <c r="V36" s="53">
        <f>T36/R36</f>
        <v>91.326644370122636</v>
      </c>
    </row>
    <row r="38" spans="2:23" ht="17" thickBot="1" x14ac:dyDescent="0.25"/>
    <row r="39" spans="2:23" x14ac:dyDescent="0.2">
      <c r="B39" s="30" t="s">
        <v>74</v>
      </c>
      <c r="C39" s="31" t="s">
        <v>26</v>
      </c>
      <c r="D39" s="31" t="s">
        <v>90</v>
      </c>
      <c r="E39" s="31" t="s">
        <v>75</v>
      </c>
      <c r="F39" s="31" t="s">
        <v>76</v>
      </c>
      <c r="G39" s="31" t="s">
        <v>77</v>
      </c>
      <c r="H39" s="31" t="s">
        <v>78</v>
      </c>
      <c r="I39" s="31" t="s">
        <v>79</v>
      </c>
      <c r="J39" s="32" t="s">
        <v>80</v>
      </c>
    </row>
    <row r="40" spans="2:23" ht="19" x14ac:dyDescent="0.2">
      <c r="B40" s="33" t="s">
        <v>24</v>
      </c>
      <c r="C40" s="29" t="s">
        <v>24</v>
      </c>
      <c r="D40" s="29" t="s">
        <v>24</v>
      </c>
      <c r="E40" s="29" t="s">
        <v>24</v>
      </c>
      <c r="F40" s="29" t="s">
        <v>24</v>
      </c>
      <c r="G40" s="29" t="s">
        <v>45</v>
      </c>
      <c r="H40" s="29" t="s">
        <v>45</v>
      </c>
      <c r="I40" s="29" t="s">
        <v>12</v>
      </c>
      <c r="J40" s="34" t="s">
        <v>81</v>
      </c>
    </row>
    <row r="41" spans="2:23" ht="17" thickBot="1" x14ac:dyDescent="0.25">
      <c r="B41" s="35">
        <v>300</v>
      </c>
      <c r="C41" s="36">
        <v>3</v>
      </c>
      <c r="D41" s="36">
        <f>B41-C41*2</f>
        <v>294</v>
      </c>
      <c r="E41" s="36">
        <v>10</v>
      </c>
      <c r="F41" s="57">
        <f>K32/E41</f>
        <v>40</v>
      </c>
      <c r="G41" s="36">
        <v>100</v>
      </c>
      <c r="H41" s="36">
        <v>100</v>
      </c>
      <c r="I41" s="36">
        <f>(E41+G41/1000)*(F41+H41/1000)</f>
        <v>405.01</v>
      </c>
      <c r="J41" s="37">
        <f>_xlfn.FLOOR.MATH(D41*3.1415*(D41/4/I41-1/SQRT(2*I41)),1)</f>
        <v>135</v>
      </c>
    </row>
    <row r="43" spans="2:23" ht="17" thickBot="1" x14ac:dyDescent="0.25"/>
    <row r="44" spans="2:23" ht="25" x14ac:dyDescent="0.2">
      <c r="B44" s="59" t="s">
        <v>2</v>
      </c>
      <c r="C44" s="48" t="s">
        <v>55</v>
      </c>
      <c r="D44" s="48" t="s">
        <v>68</v>
      </c>
      <c r="E44" s="48" t="s">
        <v>98</v>
      </c>
      <c r="F44" s="48" t="s">
        <v>82</v>
      </c>
      <c r="G44" s="48" t="s">
        <v>85</v>
      </c>
      <c r="H44" s="27" t="s">
        <v>114</v>
      </c>
      <c r="I44" s="48" t="s">
        <v>88</v>
      </c>
      <c r="J44" s="49" t="s">
        <v>117</v>
      </c>
    </row>
    <row r="45" spans="2:23" ht="22" customHeight="1" x14ac:dyDescent="0.2">
      <c r="B45" s="192" t="s">
        <v>97</v>
      </c>
      <c r="C45" s="194">
        <v>2021</v>
      </c>
      <c r="D45" s="196">
        <v>12000</v>
      </c>
      <c r="E45" s="26">
        <v>600</v>
      </c>
      <c r="F45" s="26">
        <v>400</v>
      </c>
      <c r="G45" s="74">
        <v>0.432</v>
      </c>
      <c r="H45" s="38">
        <v>60</v>
      </c>
      <c r="I45" s="47">
        <v>200</v>
      </c>
      <c r="J45" s="86">
        <v>0.8</v>
      </c>
    </row>
    <row r="46" spans="2:23" ht="22" customHeight="1" x14ac:dyDescent="0.2">
      <c r="B46" s="193"/>
      <c r="C46" s="195"/>
      <c r="D46" s="197"/>
      <c r="E46" s="26">
        <v>300</v>
      </c>
      <c r="F46" s="26">
        <v>300</v>
      </c>
      <c r="G46" s="74">
        <v>0.49199999999999999</v>
      </c>
      <c r="H46" s="38">
        <v>92</v>
      </c>
      <c r="I46" s="47">
        <v>130.43478260869566</v>
      </c>
      <c r="J46" s="86">
        <v>0.8</v>
      </c>
    </row>
    <row r="47" spans="2:23" ht="22" customHeight="1" x14ac:dyDescent="0.2">
      <c r="B47" s="192" t="s">
        <v>101</v>
      </c>
      <c r="C47" s="194" t="s">
        <v>118</v>
      </c>
      <c r="D47" s="196">
        <v>8000</v>
      </c>
      <c r="E47" s="26">
        <v>600</v>
      </c>
      <c r="F47" s="26">
        <v>400</v>
      </c>
      <c r="G47" s="74">
        <v>0.5</v>
      </c>
      <c r="H47" s="38">
        <v>69</v>
      </c>
      <c r="I47" s="47">
        <v>115.94202898550725</v>
      </c>
      <c r="J47" s="86">
        <v>0.8</v>
      </c>
    </row>
    <row r="48" spans="2:23" ht="22" customHeight="1" x14ac:dyDescent="0.2">
      <c r="B48" s="193"/>
      <c r="C48" s="195"/>
      <c r="D48" s="197"/>
      <c r="E48" s="26">
        <v>300</v>
      </c>
      <c r="F48" s="26">
        <v>300</v>
      </c>
      <c r="G48" s="74">
        <v>0.55700000000000005</v>
      </c>
      <c r="H48" s="38">
        <v>105</v>
      </c>
      <c r="I48" s="47">
        <v>76.19047619047619</v>
      </c>
      <c r="J48" s="86">
        <v>0.8</v>
      </c>
    </row>
    <row r="49" spans="2:11" ht="23" thickBot="1" x14ac:dyDescent="0.25">
      <c r="B49" s="61" t="s">
        <v>94</v>
      </c>
      <c r="C49" s="28">
        <v>2023</v>
      </c>
      <c r="D49" s="52">
        <v>8000</v>
      </c>
      <c r="E49" s="28">
        <v>600</v>
      </c>
      <c r="F49" s="28">
        <v>300</v>
      </c>
      <c r="G49" s="87">
        <v>0.49199999999999999</v>
      </c>
      <c r="H49" s="41">
        <v>92</v>
      </c>
      <c r="I49" s="56">
        <v>86.956521739130437</v>
      </c>
      <c r="J49" s="88">
        <v>6.4</v>
      </c>
    </row>
    <row r="53" spans="2:11" ht="17" thickBot="1" x14ac:dyDescent="0.25"/>
    <row r="54" spans="2:11" s="75" customFormat="1" ht="66" x14ac:dyDescent="0.2">
      <c r="B54" s="76" t="s">
        <v>120</v>
      </c>
      <c r="C54" s="77" t="s">
        <v>119</v>
      </c>
      <c r="D54" s="77" t="s">
        <v>111</v>
      </c>
      <c r="E54" s="77" t="s">
        <v>112</v>
      </c>
      <c r="F54" s="77" t="s">
        <v>113</v>
      </c>
      <c r="G54" s="77" t="s">
        <v>103</v>
      </c>
      <c r="H54" s="77" t="s">
        <v>108</v>
      </c>
      <c r="I54" s="77" t="s">
        <v>102</v>
      </c>
      <c r="J54" s="77" t="s">
        <v>104</v>
      </c>
      <c r="K54" s="78" t="s">
        <v>105</v>
      </c>
    </row>
    <row r="55" spans="2:11" ht="21" x14ac:dyDescent="0.2">
      <c r="B55" s="198">
        <v>2</v>
      </c>
      <c r="C55" s="190">
        <v>600</v>
      </c>
      <c r="D55" s="190">
        <v>400</v>
      </c>
      <c r="E55" s="190">
        <v>300</v>
      </c>
      <c r="F55" s="190">
        <v>100</v>
      </c>
      <c r="G55" s="190">
        <v>138</v>
      </c>
      <c r="H55" s="190" t="s">
        <v>109</v>
      </c>
      <c r="I55" s="79" t="s">
        <v>106</v>
      </c>
      <c r="J55" s="80">
        <v>0.432</v>
      </c>
      <c r="K55" s="84">
        <v>60</v>
      </c>
    </row>
    <row r="56" spans="2:11" ht="21" x14ac:dyDescent="0.2">
      <c r="B56" s="198"/>
      <c r="C56" s="190"/>
      <c r="D56" s="190"/>
      <c r="E56" s="190"/>
      <c r="F56" s="190"/>
      <c r="G56" s="190"/>
      <c r="H56" s="190"/>
      <c r="I56" s="79" t="s">
        <v>107</v>
      </c>
      <c r="J56" s="80">
        <v>0.48299999999999998</v>
      </c>
      <c r="K56" s="81">
        <v>67</v>
      </c>
    </row>
    <row r="57" spans="2:11" ht="21" x14ac:dyDescent="0.2">
      <c r="B57" s="198"/>
      <c r="C57" s="190"/>
      <c r="D57" s="190"/>
      <c r="E57" s="190"/>
      <c r="F57" s="190"/>
      <c r="G57" s="190"/>
      <c r="H57" s="190" t="s">
        <v>110</v>
      </c>
      <c r="I57" s="79" t="s">
        <v>106</v>
      </c>
      <c r="J57" s="80">
        <v>0.44700000000000001</v>
      </c>
      <c r="K57" s="81">
        <v>62</v>
      </c>
    </row>
    <row r="58" spans="2:11" ht="21" x14ac:dyDescent="0.2">
      <c r="B58" s="198"/>
      <c r="C58" s="190"/>
      <c r="D58" s="190"/>
      <c r="E58" s="190"/>
      <c r="F58" s="190"/>
      <c r="G58" s="190"/>
      <c r="H58" s="190"/>
      <c r="I58" s="79" t="s">
        <v>107</v>
      </c>
      <c r="J58" s="80">
        <v>0.5</v>
      </c>
      <c r="K58" s="84">
        <v>69</v>
      </c>
    </row>
    <row r="59" spans="2:11" ht="21" x14ac:dyDescent="0.2">
      <c r="B59" s="198">
        <f>C59/E59</f>
        <v>1.875</v>
      </c>
      <c r="C59" s="190">
        <v>300</v>
      </c>
      <c r="D59" s="190">
        <v>300</v>
      </c>
      <c r="E59" s="190">
        <v>160</v>
      </c>
      <c r="F59" s="190">
        <v>140</v>
      </c>
      <c r="G59" s="190">
        <v>188</v>
      </c>
      <c r="H59" s="190" t="s">
        <v>109</v>
      </c>
      <c r="I59" s="79" t="s">
        <v>106</v>
      </c>
      <c r="J59" s="80">
        <v>0.49199999999999999</v>
      </c>
      <c r="K59" s="84">
        <v>92</v>
      </c>
    </row>
    <row r="60" spans="2:11" ht="21" x14ac:dyDescent="0.2">
      <c r="B60" s="198"/>
      <c r="C60" s="190"/>
      <c r="D60" s="190"/>
      <c r="E60" s="190"/>
      <c r="F60" s="190"/>
      <c r="G60" s="190"/>
      <c r="H60" s="190"/>
      <c r="I60" s="79" t="s">
        <v>107</v>
      </c>
      <c r="J60" s="80">
        <v>0.54100000000000004</v>
      </c>
      <c r="K60" s="81">
        <v>102</v>
      </c>
    </row>
    <row r="61" spans="2:11" ht="21" x14ac:dyDescent="0.2">
      <c r="B61" s="198"/>
      <c r="C61" s="190"/>
      <c r="D61" s="190"/>
      <c r="E61" s="190"/>
      <c r="F61" s="190"/>
      <c r="G61" s="190"/>
      <c r="H61" s="190" t="s">
        <v>110</v>
      </c>
      <c r="I61" s="79" t="s">
        <v>106</v>
      </c>
      <c r="J61" s="80">
        <v>0.50700000000000001</v>
      </c>
      <c r="K61" s="81">
        <v>95</v>
      </c>
    </row>
    <row r="62" spans="2:11" ht="22" thickBot="1" x14ac:dyDescent="0.25">
      <c r="B62" s="199"/>
      <c r="C62" s="191"/>
      <c r="D62" s="191"/>
      <c r="E62" s="191"/>
      <c r="F62" s="191"/>
      <c r="G62" s="191"/>
      <c r="H62" s="191"/>
      <c r="I62" s="82" t="s">
        <v>107</v>
      </c>
      <c r="J62" s="83">
        <v>0.55700000000000005</v>
      </c>
      <c r="K62" s="85">
        <v>105</v>
      </c>
    </row>
    <row r="68" spans="3:10" ht="21" x14ac:dyDescent="0.2">
      <c r="C68" s="198">
        <v>400</v>
      </c>
      <c r="D68" s="190">
        <v>300</v>
      </c>
      <c r="E68" s="190">
        <v>100</v>
      </c>
      <c r="F68" s="190">
        <v>138</v>
      </c>
      <c r="G68" s="190" t="s">
        <v>109</v>
      </c>
      <c r="H68" s="79" t="s">
        <v>106</v>
      </c>
      <c r="I68" s="80">
        <v>0.432</v>
      </c>
      <c r="J68" s="84">
        <v>60</v>
      </c>
    </row>
    <row r="69" spans="3:10" ht="21" x14ac:dyDescent="0.2">
      <c r="C69" s="198"/>
      <c r="D69" s="190"/>
      <c r="E69" s="190"/>
      <c r="F69" s="190"/>
      <c r="G69" s="190"/>
      <c r="H69" s="79" t="s">
        <v>107</v>
      </c>
      <c r="I69" s="80">
        <v>0.48299999999999998</v>
      </c>
      <c r="J69" s="81">
        <v>67</v>
      </c>
    </row>
    <row r="70" spans="3:10" ht="21" x14ac:dyDescent="0.2">
      <c r="C70" s="198"/>
      <c r="D70" s="190"/>
      <c r="E70" s="190"/>
      <c r="F70" s="190"/>
      <c r="G70" s="190" t="s">
        <v>110</v>
      </c>
      <c r="H70" s="79" t="s">
        <v>106</v>
      </c>
      <c r="I70" s="80">
        <v>0.44700000000000001</v>
      </c>
      <c r="J70" s="81">
        <v>62</v>
      </c>
    </row>
    <row r="71" spans="3:10" ht="22" thickBot="1" x14ac:dyDescent="0.25">
      <c r="C71" s="199"/>
      <c r="D71" s="191"/>
      <c r="E71" s="191"/>
      <c r="F71" s="191"/>
      <c r="G71" s="191"/>
      <c r="H71" s="82" t="s">
        <v>107</v>
      </c>
      <c r="I71" s="83">
        <v>0.5</v>
      </c>
      <c r="J71" s="85">
        <v>69</v>
      </c>
    </row>
  </sheetData>
  <mergeCells count="28">
    <mergeCell ref="B59:B62"/>
    <mergeCell ref="B55:B58"/>
    <mergeCell ref="C55:C58"/>
    <mergeCell ref="C59:C62"/>
    <mergeCell ref="F68:F71"/>
    <mergeCell ref="G68:G69"/>
    <mergeCell ref="G70:G71"/>
    <mergeCell ref="D59:D62"/>
    <mergeCell ref="E59:E62"/>
    <mergeCell ref="C68:C71"/>
    <mergeCell ref="D68:D71"/>
    <mergeCell ref="E68:E71"/>
    <mergeCell ref="H59:H60"/>
    <mergeCell ref="H61:H62"/>
    <mergeCell ref="H55:H56"/>
    <mergeCell ref="H57:H58"/>
    <mergeCell ref="B45:B46"/>
    <mergeCell ref="B47:B48"/>
    <mergeCell ref="C45:C46"/>
    <mergeCell ref="C47:C48"/>
    <mergeCell ref="D45:D46"/>
    <mergeCell ref="D47:D48"/>
    <mergeCell ref="F59:F62"/>
    <mergeCell ref="D55:D58"/>
    <mergeCell ref="E55:E58"/>
    <mergeCell ref="F55:F58"/>
    <mergeCell ref="G59:G62"/>
    <mergeCell ref="G55:G5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B029-8116-1646-A2E2-031F1305363F}">
  <dimension ref="A1:AH56"/>
  <sheetViews>
    <sheetView zoomScale="140" zoomScaleNormal="140" workbookViewId="0">
      <selection activeCell="X25" sqref="X25"/>
    </sheetView>
  </sheetViews>
  <sheetFormatPr baseColWidth="10" defaultRowHeight="16" x14ac:dyDescent="0.2"/>
  <cols>
    <col min="1" max="2" width="10.83203125" style="24"/>
    <col min="3" max="3" width="11.6640625" style="24" bestFit="1" customWidth="1"/>
    <col min="4" max="4" width="10.83203125" style="24"/>
    <col min="5" max="5" width="10.83203125" style="25"/>
    <col min="6" max="6" width="13" style="24" bestFit="1" customWidth="1"/>
    <col min="7" max="7" width="7.1640625" style="24" customWidth="1"/>
    <col min="8" max="11" width="10.83203125" style="24"/>
    <col min="12" max="12" width="9.83203125" style="24" customWidth="1"/>
    <col min="13" max="13" width="0.83203125" style="24" customWidth="1"/>
    <col min="14" max="16" width="10.83203125" style="24"/>
    <col min="17" max="17" width="1.83203125" style="24" customWidth="1"/>
    <col min="18" max="18" width="14" style="24" bestFit="1" customWidth="1"/>
    <col min="19" max="19" width="12.5" style="25" bestFit="1" customWidth="1"/>
    <col min="20" max="20" width="14.5" style="25" bestFit="1" customWidth="1"/>
    <col min="21" max="23" width="10.83203125" style="25"/>
    <col min="24" max="24" width="12.6640625" style="25" bestFit="1" customWidth="1"/>
    <col min="25" max="25" width="10.83203125" style="25"/>
    <col min="26" max="26" width="13.33203125" style="25" bestFit="1" customWidth="1"/>
    <col min="27" max="27" width="10.83203125" style="25"/>
    <col min="28" max="28" width="13.5" style="25" bestFit="1" customWidth="1"/>
    <col min="29" max="16384" width="10.83203125" style="25"/>
  </cols>
  <sheetData>
    <row r="1" spans="1:19" ht="17" thickBot="1" x14ac:dyDescent="0.25">
      <c r="A1" s="206" t="s">
        <v>154</v>
      </c>
      <c r="B1" s="206"/>
      <c r="C1" s="206"/>
      <c r="D1" s="206"/>
    </row>
    <row r="2" spans="1:19" ht="54" x14ac:dyDescent="0.2">
      <c r="A2" s="30"/>
      <c r="B2" s="93" t="s">
        <v>127</v>
      </c>
      <c r="C2" s="93" t="s">
        <v>130</v>
      </c>
      <c r="D2" s="95" t="s">
        <v>128</v>
      </c>
    </row>
    <row r="3" spans="1:19" x14ac:dyDescent="0.2">
      <c r="A3" s="33" t="s">
        <v>94</v>
      </c>
      <c r="B3" s="29">
        <v>5.41</v>
      </c>
      <c r="C3" s="29" t="s">
        <v>131</v>
      </c>
      <c r="D3" s="34">
        <v>3.7</v>
      </c>
    </row>
    <row r="4" spans="1:19" x14ac:dyDescent="0.2">
      <c r="A4" s="33" t="s">
        <v>5</v>
      </c>
      <c r="B4" s="29">
        <v>5.41</v>
      </c>
      <c r="C4" s="29" t="s">
        <v>132</v>
      </c>
      <c r="D4" s="34">
        <v>7.4</v>
      </c>
    </row>
    <row r="5" spans="1:19" ht="17" thickBot="1" x14ac:dyDescent="0.25">
      <c r="A5" s="35" t="s">
        <v>65</v>
      </c>
      <c r="B5" s="36">
        <v>24.06</v>
      </c>
      <c r="C5" s="36" t="s">
        <v>133</v>
      </c>
      <c r="D5" s="37">
        <v>2.1</v>
      </c>
    </row>
    <row r="9" spans="1:19" ht="17" thickBot="1" x14ac:dyDescent="0.25"/>
    <row r="10" spans="1:19" ht="17" thickBot="1" x14ac:dyDescent="0.25">
      <c r="H10" s="146"/>
      <c r="I10" s="200" t="s">
        <v>155</v>
      </c>
      <c r="J10" s="201"/>
      <c r="K10" s="201"/>
      <c r="L10" s="202"/>
      <c r="M10" s="89"/>
      <c r="N10" s="200" t="s">
        <v>156</v>
      </c>
      <c r="O10" s="201"/>
      <c r="P10" s="202"/>
    </row>
    <row r="11" spans="1:19" ht="37" x14ac:dyDescent="0.2">
      <c r="F11" s="96" t="s">
        <v>121</v>
      </c>
      <c r="G11" s="93" t="s">
        <v>122</v>
      </c>
      <c r="H11" s="93" t="s">
        <v>135</v>
      </c>
      <c r="I11" s="93" t="s">
        <v>134</v>
      </c>
      <c r="J11" s="93" t="s">
        <v>172</v>
      </c>
      <c r="K11" s="93" t="s">
        <v>176</v>
      </c>
      <c r="L11" s="93" t="s">
        <v>173</v>
      </c>
      <c r="M11" s="94"/>
      <c r="N11" s="93" t="s">
        <v>175</v>
      </c>
      <c r="O11" s="93" t="s">
        <v>174</v>
      </c>
      <c r="P11" s="95" t="s">
        <v>173</v>
      </c>
      <c r="S11" s="24"/>
    </row>
    <row r="12" spans="1:19" x14ac:dyDescent="0.2">
      <c r="F12" s="97" t="s">
        <v>124</v>
      </c>
      <c r="G12" s="29">
        <v>448</v>
      </c>
      <c r="H12" s="29">
        <v>512</v>
      </c>
      <c r="I12" s="29" t="s">
        <v>129</v>
      </c>
      <c r="J12" s="29">
        <v>366</v>
      </c>
      <c r="K12" s="91">
        <f>J12*63%</f>
        <v>230.58</v>
      </c>
      <c r="L12" s="91">
        <f>J12-K12</f>
        <v>135.41999999999999</v>
      </c>
      <c r="M12" s="90"/>
      <c r="N12" s="91">
        <f>O12+P12</f>
        <v>274.25932430827692</v>
      </c>
      <c r="O12" s="91">
        <f>H12/$D$5</f>
        <v>243.8095238095238</v>
      </c>
      <c r="P12" s="92">
        <f>L12*$B$3/$B$5</f>
        <v>30.449800498753113</v>
      </c>
      <c r="S12" s="24"/>
    </row>
    <row r="13" spans="1:19" x14ac:dyDescent="0.2">
      <c r="F13" s="97" t="s">
        <v>169</v>
      </c>
      <c r="G13" s="29">
        <v>640</v>
      </c>
      <c r="H13" s="29">
        <v>640</v>
      </c>
      <c r="I13" s="29" t="s">
        <v>129</v>
      </c>
      <c r="J13" s="29">
        <v>443</v>
      </c>
      <c r="K13" s="91">
        <f>J13*63%</f>
        <v>279.08999999999997</v>
      </c>
      <c r="L13" s="91">
        <f>J13-K13</f>
        <v>163.91000000000003</v>
      </c>
      <c r="M13" s="90"/>
      <c r="N13" s="91">
        <f>O13+P13</f>
        <v>341.6178108300677</v>
      </c>
      <c r="O13" s="91">
        <f>H13/$D$5</f>
        <v>304.76190476190476</v>
      </c>
      <c r="P13" s="92">
        <f>L13*$B$3/$B$5</f>
        <v>36.85590606816293</v>
      </c>
      <c r="S13" s="24"/>
    </row>
    <row r="14" spans="1:19" ht="17" thickBot="1" x14ac:dyDescent="0.25">
      <c r="F14" s="140" t="s">
        <v>123</v>
      </c>
      <c r="G14" s="36" t="s">
        <v>170</v>
      </c>
      <c r="H14" s="36">
        <v>870</v>
      </c>
      <c r="I14" s="36" t="s">
        <v>171</v>
      </c>
      <c r="J14" s="36">
        <v>366</v>
      </c>
      <c r="K14" s="91">
        <f>J14*63%</f>
        <v>230.58</v>
      </c>
      <c r="L14" s="91">
        <f>J14-K14</f>
        <v>135.41999999999999</v>
      </c>
      <c r="M14" s="141"/>
      <c r="N14" s="91">
        <f>O14+P14</f>
        <v>444.7355147844674</v>
      </c>
      <c r="O14" s="91">
        <f>H14/$D$5</f>
        <v>414.28571428571428</v>
      </c>
      <c r="P14" s="92">
        <f>L14*$B$3/$B$5</f>
        <v>30.449800498753113</v>
      </c>
      <c r="S14" s="24"/>
    </row>
    <row r="17" spans="1:34" ht="17" thickBot="1" x14ac:dyDescent="0.25">
      <c r="H17" s="204"/>
      <c r="I17" s="204"/>
      <c r="J17" s="204"/>
      <c r="K17" s="204"/>
      <c r="L17" s="204"/>
      <c r="M17" s="89"/>
      <c r="N17" s="204"/>
      <c r="O17" s="204"/>
      <c r="P17" s="204"/>
    </row>
    <row r="18" spans="1:34" ht="34" x14ac:dyDescent="0.2">
      <c r="F18" s="142"/>
      <c r="G18" s="75"/>
      <c r="H18" s="75"/>
      <c r="I18" s="75"/>
      <c r="J18" s="75"/>
      <c r="K18" s="75"/>
      <c r="L18" s="75"/>
      <c r="M18" s="143"/>
      <c r="N18" s="75"/>
      <c r="O18" s="75"/>
      <c r="P18" s="75"/>
      <c r="S18" s="24"/>
      <c r="Y18" s="131" t="s">
        <v>167</v>
      </c>
      <c r="Z18" s="132" t="s">
        <v>166</v>
      </c>
      <c r="AA18" s="133" t="s">
        <v>79</v>
      </c>
      <c r="AB18" s="133" t="s">
        <v>165</v>
      </c>
      <c r="AC18" s="134" t="s">
        <v>146</v>
      </c>
    </row>
    <row r="19" spans="1:34" x14ac:dyDescent="0.2">
      <c r="F19" s="144"/>
      <c r="K19" s="145"/>
      <c r="L19" s="145"/>
      <c r="M19" s="89"/>
      <c r="N19" s="145"/>
      <c r="O19" s="145"/>
      <c r="P19" s="145"/>
      <c r="S19" s="24"/>
      <c r="Y19" s="135" t="s">
        <v>136</v>
      </c>
      <c r="Z19" s="1" t="s">
        <v>163</v>
      </c>
      <c r="AA19" s="130">
        <v>366</v>
      </c>
      <c r="AB19" s="130">
        <v>119</v>
      </c>
      <c r="AC19" s="136">
        <v>0.99099999999999999</v>
      </c>
    </row>
    <row r="20" spans="1:34" x14ac:dyDescent="0.2">
      <c r="Y20" s="135" t="s">
        <v>168</v>
      </c>
      <c r="Z20" s="1" t="s">
        <v>164</v>
      </c>
      <c r="AA20" s="130">
        <v>443</v>
      </c>
      <c r="AB20" s="130">
        <v>90</v>
      </c>
      <c r="AC20" s="136">
        <v>0.99099999999999999</v>
      </c>
    </row>
    <row r="21" spans="1:34" ht="17" thickBot="1" x14ac:dyDescent="0.25">
      <c r="Y21" s="137"/>
      <c r="Z21" s="138" t="s">
        <v>162</v>
      </c>
      <c r="AA21" s="138">
        <v>356</v>
      </c>
      <c r="AB21" s="138">
        <v>122</v>
      </c>
      <c r="AC21" s="139">
        <v>0.99099999999999999</v>
      </c>
    </row>
    <row r="23" spans="1:34" ht="17" thickBot="1" x14ac:dyDescent="0.25">
      <c r="R23" s="206" t="s">
        <v>153</v>
      </c>
      <c r="S23" s="206"/>
      <c r="T23" s="206"/>
      <c r="U23" s="206"/>
      <c r="V23" s="206"/>
      <c r="W23" s="206"/>
      <c r="X23" s="206"/>
      <c r="Z23" s="206" t="s">
        <v>177</v>
      </c>
      <c r="AA23" s="206"/>
      <c r="AB23" s="206"/>
      <c r="AC23" s="206"/>
      <c r="AD23" s="206"/>
      <c r="AE23" s="206"/>
      <c r="AF23" s="206"/>
    </row>
    <row r="24" spans="1:34" ht="20" x14ac:dyDescent="0.2">
      <c r="A24" s="25"/>
      <c r="B24" s="25"/>
      <c r="C24" s="25"/>
      <c r="D24" s="25"/>
      <c r="F24" s="25"/>
      <c r="G24" s="25"/>
      <c r="H24" s="25"/>
      <c r="I24" s="25"/>
      <c r="J24" s="25"/>
      <c r="K24" s="25"/>
      <c r="L24" s="25"/>
      <c r="M24" s="25"/>
      <c r="N24" s="25"/>
      <c r="O24" s="25"/>
      <c r="P24" s="25"/>
      <c r="Q24" s="25"/>
      <c r="R24" s="122" t="s">
        <v>159</v>
      </c>
      <c r="S24" s="98" t="s">
        <v>2</v>
      </c>
      <c r="T24" s="129" t="s">
        <v>160</v>
      </c>
      <c r="U24" s="98" t="s">
        <v>157</v>
      </c>
      <c r="V24" s="98" t="s">
        <v>85</v>
      </c>
      <c r="W24" s="99" t="s">
        <v>114</v>
      </c>
      <c r="X24" s="100" t="s">
        <v>158</v>
      </c>
      <c r="Z24" s="122" t="s">
        <v>159</v>
      </c>
      <c r="AA24" s="98" t="s">
        <v>2</v>
      </c>
      <c r="AB24" s="129" t="s">
        <v>160</v>
      </c>
      <c r="AC24" s="98" t="s">
        <v>157</v>
      </c>
      <c r="AD24" s="98" t="s">
        <v>85</v>
      </c>
      <c r="AE24" s="99" t="s">
        <v>114</v>
      </c>
      <c r="AF24" s="100" t="s">
        <v>158</v>
      </c>
    </row>
    <row r="25" spans="1:34" ht="17" x14ac:dyDescent="0.2">
      <c r="A25" s="25"/>
      <c r="B25" s="25"/>
      <c r="C25" s="25"/>
      <c r="D25" s="25"/>
      <c r="F25" s="25"/>
      <c r="G25" s="25"/>
      <c r="H25" s="25"/>
      <c r="I25" s="25"/>
      <c r="J25" s="25"/>
      <c r="K25" s="25"/>
      <c r="L25" s="25"/>
      <c r="M25" s="25"/>
      <c r="N25" s="25"/>
      <c r="O25" s="25"/>
      <c r="P25" s="25"/>
      <c r="Q25" s="25"/>
      <c r="R25" s="205" t="s">
        <v>137</v>
      </c>
      <c r="S25" s="125" t="s">
        <v>161</v>
      </c>
      <c r="T25" s="125">
        <v>366</v>
      </c>
      <c r="U25" s="125">
        <v>150</v>
      </c>
      <c r="V25" s="126">
        <v>0.78</v>
      </c>
      <c r="W25" s="127">
        <f>_xlfn.FLOOR.MATH(U25*V25,1)+1</f>
        <v>118</v>
      </c>
      <c r="X25" s="128">
        <f>8000/W25</f>
        <v>67.79661016949153</v>
      </c>
      <c r="Z25" s="205" t="s">
        <v>137</v>
      </c>
      <c r="AA25" s="125" t="s">
        <v>161</v>
      </c>
      <c r="AB25" s="125">
        <v>366</v>
      </c>
      <c r="AC25" s="125">
        <v>150</v>
      </c>
      <c r="AD25" s="126">
        <v>0.78</v>
      </c>
      <c r="AE25" s="127">
        <f>_xlfn.FLOOR.MATH(AC25*AD25,1)+1</f>
        <v>118</v>
      </c>
      <c r="AF25" s="128">
        <f>8000/AE25</f>
        <v>67.79661016949153</v>
      </c>
    </row>
    <row r="26" spans="1:34" ht="17" customHeight="1" x14ac:dyDescent="0.2">
      <c r="A26" s="25"/>
      <c r="B26" s="25"/>
      <c r="C26" s="25"/>
      <c r="D26" s="25"/>
      <c r="F26" s="25"/>
      <c r="G26" s="25"/>
      <c r="H26" s="25"/>
      <c r="I26" s="25"/>
      <c r="J26" s="25"/>
      <c r="K26" s="25"/>
      <c r="L26" s="25"/>
      <c r="M26" s="25"/>
      <c r="N26" s="25"/>
      <c r="O26" s="25"/>
      <c r="P26" s="25"/>
      <c r="Q26" s="25"/>
      <c r="R26" s="205"/>
      <c r="S26" s="101" t="s">
        <v>125</v>
      </c>
      <c r="T26" s="101">
        <v>274</v>
      </c>
      <c r="U26" s="101">
        <v>207</v>
      </c>
      <c r="V26" s="102">
        <v>0.50925861727376909</v>
      </c>
      <c r="W26" s="103">
        <f>_xlfn.FLOOR.MATH(U26*V26,1)</f>
        <v>105</v>
      </c>
      <c r="X26" s="104">
        <f>12000/W26</f>
        <v>114.28571428571429</v>
      </c>
      <c r="Z26" s="205"/>
      <c r="AA26" s="101" t="s">
        <v>125</v>
      </c>
      <c r="AB26" s="101">
        <v>274</v>
      </c>
      <c r="AC26" s="101">
        <v>207</v>
      </c>
      <c r="AD26" s="102">
        <v>0.5724773298670065</v>
      </c>
      <c r="AE26" s="103">
        <f>_xlfn.FLOOR.MATH(AC26*AD26,1)</f>
        <v>118</v>
      </c>
      <c r="AF26" s="104">
        <f t="shared" ref="AF26:AF28" si="0">8000/AE26</f>
        <v>67.79661016949153</v>
      </c>
    </row>
    <row r="27" spans="1:34" ht="17" x14ac:dyDescent="0.2">
      <c r="A27" s="25"/>
      <c r="B27" s="25"/>
      <c r="C27" s="25"/>
      <c r="D27" s="25"/>
      <c r="F27" s="25"/>
      <c r="G27" s="25"/>
      <c r="H27" s="25"/>
      <c r="I27" s="25"/>
      <c r="J27" s="25"/>
      <c r="K27" s="25"/>
      <c r="L27" s="25"/>
      <c r="M27" s="25"/>
      <c r="N27" s="25"/>
      <c r="O27" s="25"/>
      <c r="P27" s="25"/>
      <c r="Q27" s="25"/>
      <c r="R27" s="205" t="s">
        <v>138</v>
      </c>
      <c r="S27" s="125" t="s">
        <v>161</v>
      </c>
      <c r="T27" s="125">
        <v>443</v>
      </c>
      <c r="U27" s="125">
        <v>121</v>
      </c>
      <c r="V27" s="126">
        <v>0.75</v>
      </c>
      <c r="W27" s="127">
        <f>_xlfn.FLOOR.MATH(U27*V27,1)</f>
        <v>90</v>
      </c>
      <c r="X27" s="128">
        <f>8000/W27</f>
        <v>88.888888888888886</v>
      </c>
      <c r="Z27" s="205" t="s">
        <v>138</v>
      </c>
      <c r="AA27" s="125" t="s">
        <v>161</v>
      </c>
      <c r="AB27" s="125">
        <v>443</v>
      </c>
      <c r="AC27" s="125">
        <v>121</v>
      </c>
      <c r="AD27" s="126">
        <v>0.75</v>
      </c>
      <c r="AE27" s="127">
        <f>_xlfn.FLOOR.MATH(AC27*AD27,1)</f>
        <v>90</v>
      </c>
      <c r="AF27" s="128">
        <f t="shared" si="0"/>
        <v>88.888888888888886</v>
      </c>
    </row>
    <row r="28" spans="1:34" ht="17" x14ac:dyDescent="0.2">
      <c r="A28" s="25"/>
      <c r="B28" s="25"/>
      <c r="C28" s="25"/>
      <c r="D28" s="25"/>
      <c r="F28" s="25"/>
      <c r="G28" s="25"/>
      <c r="H28" s="25"/>
      <c r="I28" s="25"/>
      <c r="J28" s="25"/>
      <c r="K28" s="25"/>
      <c r="L28" s="25"/>
      <c r="M28" s="25"/>
      <c r="N28" s="25"/>
      <c r="O28" s="25"/>
      <c r="P28" s="25"/>
      <c r="Q28" s="25"/>
      <c r="R28" s="205"/>
      <c r="S28" s="101" t="s">
        <v>125</v>
      </c>
      <c r="T28" s="101">
        <v>342</v>
      </c>
      <c r="U28" s="101">
        <v>162</v>
      </c>
      <c r="V28" s="102">
        <v>0.46676241483547526</v>
      </c>
      <c r="W28" s="103">
        <f>_xlfn.FLOOR.MATH(U28*V28,1)+1</f>
        <v>76</v>
      </c>
      <c r="X28" s="104">
        <f>12000/W28</f>
        <v>157.89473684210526</v>
      </c>
      <c r="Z28" s="205"/>
      <c r="AA28" s="101" t="s">
        <v>125</v>
      </c>
      <c r="AB28" s="101">
        <v>342</v>
      </c>
      <c r="AC28" s="101">
        <v>162</v>
      </c>
      <c r="AD28" s="102">
        <v>0.53253139380619485</v>
      </c>
      <c r="AE28" s="103">
        <f>_xlfn.FLOOR.MATH(AC28*AD28,1)+1</f>
        <v>87</v>
      </c>
      <c r="AF28" s="104">
        <f t="shared" si="0"/>
        <v>91.954022988505741</v>
      </c>
    </row>
    <row r="29" spans="1:34" ht="17" x14ac:dyDescent="0.2">
      <c r="A29" s="25"/>
      <c r="B29" s="25"/>
      <c r="C29" s="25"/>
      <c r="D29" s="25"/>
      <c r="F29" s="25"/>
      <c r="G29" s="25"/>
      <c r="H29" s="25"/>
      <c r="I29" s="25"/>
      <c r="J29" s="25"/>
      <c r="K29" s="25"/>
      <c r="L29" s="25"/>
      <c r="M29" s="25"/>
      <c r="N29" s="25"/>
      <c r="O29" s="25"/>
      <c r="P29" s="25"/>
      <c r="Q29" s="25"/>
      <c r="R29" s="205" t="s">
        <v>123</v>
      </c>
      <c r="S29" s="125" t="s">
        <v>5</v>
      </c>
      <c r="T29" s="125">
        <v>366</v>
      </c>
      <c r="U29" s="125">
        <v>150</v>
      </c>
      <c r="V29" s="126"/>
      <c r="W29" s="127"/>
      <c r="X29" s="128"/>
      <c r="Z29" s="205" t="s">
        <v>123</v>
      </c>
      <c r="AA29" s="125" t="s">
        <v>5</v>
      </c>
      <c r="AB29" s="125">
        <v>366</v>
      </c>
      <c r="AC29" s="125">
        <v>150</v>
      </c>
      <c r="AD29" s="126"/>
      <c r="AE29" s="127"/>
      <c r="AF29" s="128"/>
    </row>
    <row r="30" spans="1:34" ht="18" thickBot="1" x14ac:dyDescent="0.25">
      <c r="R30" s="208"/>
      <c r="S30" s="105" t="s">
        <v>125</v>
      </c>
      <c r="T30" s="105">
        <v>445</v>
      </c>
      <c r="U30" s="36">
        <v>121</v>
      </c>
      <c r="V30" s="123">
        <v>0.40824425457121688</v>
      </c>
      <c r="W30" s="124">
        <f>_xlfn.FLOOR.MATH(U30*V30,1)+1</f>
        <v>50</v>
      </c>
      <c r="X30" s="106">
        <f>12000/W30</f>
        <v>240</v>
      </c>
      <c r="Z30" s="208"/>
      <c r="AA30" s="105" t="s">
        <v>125</v>
      </c>
      <c r="AB30" s="105">
        <v>445</v>
      </c>
      <c r="AC30" s="36">
        <v>121</v>
      </c>
      <c r="AD30" s="123">
        <v>0.47648964696151647</v>
      </c>
      <c r="AE30" s="124">
        <f>_xlfn.FLOOR.MATH(AC30*AD30,1)+1</f>
        <v>58</v>
      </c>
      <c r="AF30" s="106">
        <f>8000/AE30</f>
        <v>137.93103448275863</v>
      </c>
    </row>
    <row r="32" spans="1:34" ht="17" thickBot="1" x14ac:dyDescent="0.25">
      <c r="A32" s="25"/>
      <c r="B32" s="25"/>
      <c r="C32" s="25"/>
      <c r="D32" s="25"/>
      <c r="F32" s="25"/>
      <c r="G32" s="25"/>
      <c r="H32" s="25"/>
      <c r="I32" s="25"/>
      <c r="J32" s="25"/>
      <c r="K32" s="25"/>
      <c r="L32" s="25"/>
      <c r="M32" s="25"/>
      <c r="N32" s="25"/>
      <c r="O32" s="25"/>
      <c r="P32" s="25"/>
      <c r="S32" s="24"/>
      <c r="T32" s="24"/>
      <c r="V32" s="24"/>
      <c r="W32" s="24"/>
      <c r="X32" s="24"/>
      <c r="Y32" s="24"/>
      <c r="Z32" s="24"/>
      <c r="AA32" s="24"/>
      <c r="AB32" s="24"/>
      <c r="AC32" s="147">
        <f>8/12.01</f>
        <v>0.66611157368859286</v>
      </c>
      <c r="AD32" s="24"/>
      <c r="AE32" s="24"/>
      <c r="AF32" s="24"/>
      <c r="AG32" s="24"/>
      <c r="AH32" s="24"/>
    </row>
    <row r="33" spans="1:34" x14ac:dyDescent="0.2">
      <c r="A33" s="25"/>
      <c r="B33" s="25"/>
      <c r="C33" s="25"/>
      <c r="D33" s="25"/>
      <c r="F33" s="25"/>
      <c r="G33" s="25"/>
      <c r="H33" s="25"/>
      <c r="I33" s="25"/>
      <c r="J33" s="25"/>
      <c r="K33" s="25"/>
      <c r="L33" s="25"/>
      <c r="M33" s="25"/>
      <c r="N33" s="25"/>
      <c r="O33" s="25"/>
      <c r="P33" s="25"/>
      <c r="Q33" s="25"/>
      <c r="R33" s="30" t="s">
        <v>74</v>
      </c>
      <c r="S33" s="31" t="s">
        <v>26</v>
      </c>
      <c r="T33" s="31" t="s">
        <v>90</v>
      </c>
      <c r="U33" s="31" t="s">
        <v>75</v>
      </c>
      <c r="V33" s="31" t="s">
        <v>76</v>
      </c>
      <c r="W33" s="31" t="s">
        <v>77</v>
      </c>
      <c r="X33" s="31" t="s">
        <v>78</v>
      </c>
      <c r="Y33" s="31" t="s">
        <v>79</v>
      </c>
      <c r="Z33" s="32" t="s">
        <v>80</v>
      </c>
    </row>
    <row r="34" spans="1:34" ht="19" x14ac:dyDescent="0.2">
      <c r="A34" s="25"/>
      <c r="B34" s="25"/>
      <c r="C34" s="25"/>
      <c r="D34" s="25"/>
      <c r="F34" s="25"/>
      <c r="G34" s="25"/>
      <c r="H34" s="25"/>
      <c r="I34" s="25"/>
      <c r="J34" s="25"/>
      <c r="K34" s="25"/>
      <c r="L34" s="25"/>
      <c r="M34" s="25"/>
      <c r="N34" s="25"/>
      <c r="O34" s="25"/>
      <c r="P34" s="25"/>
      <c r="Q34" s="25"/>
      <c r="R34" s="33" t="s">
        <v>24</v>
      </c>
      <c r="S34" s="29" t="s">
        <v>24</v>
      </c>
      <c r="T34" s="29" t="s">
        <v>24</v>
      </c>
      <c r="U34" s="29" t="s">
        <v>24</v>
      </c>
      <c r="V34" s="29" t="s">
        <v>24</v>
      </c>
      <c r="W34" s="29" t="s">
        <v>45</v>
      </c>
      <c r="X34" s="29" t="s">
        <v>45</v>
      </c>
      <c r="Y34" s="29" t="s">
        <v>12</v>
      </c>
      <c r="Z34" s="34" t="s">
        <v>81</v>
      </c>
    </row>
    <row r="35" spans="1:34" ht="17" thickBot="1" x14ac:dyDescent="0.25">
      <c r="A35" s="25"/>
      <c r="B35" s="25"/>
      <c r="C35" s="25"/>
      <c r="D35" s="25"/>
      <c r="F35" s="25"/>
      <c r="G35" s="25"/>
      <c r="H35" s="25"/>
      <c r="I35" s="25"/>
      <c r="J35" s="25"/>
      <c r="K35" s="25"/>
      <c r="L35" s="25"/>
      <c r="M35" s="25"/>
      <c r="N35" s="25"/>
      <c r="O35" s="25"/>
      <c r="P35" s="25"/>
      <c r="Q35" s="25"/>
      <c r="R35" s="35">
        <v>300</v>
      </c>
      <c r="S35" s="36">
        <v>2.5</v>
      </c>
      <c r="T35" s="36">
        <f>R35-S35*2</f>
        <v>295</v>
      </c>
      <c r="U35" s="107">
        <v>20</v>
      </c>
      <c r="V35" s="57">
        <f>V37/U35</f>
        <v>22.15</v>
      </c>
      <c r="W35" s="36">
        <v>100</v>
      </c>
      <c r="X35" s="36">
        <v>100</v>
      </c>
      <c r="Y35" s="36">
        <f>(U35+W35/1000)*(V35+X35/1000)</f>
        <v>447.22500000000002</v>
      </c>
      <c r="Z35" s="37">
        <f>_xlfn.FLOOR.MATH(T35*3.1415*(T35/4/Y35-1/SQRT(2*Y35)),1)</f>
        <v>121</v>
      </c>
    </row>
    <row r="36" spans="1:34" x14ac:dyDescent="0.2">
      <c r="A36" s="25"/>
      <c r="B36" s="25"/>
      <c r="C36" s="25"/>
      <c r="D36" s="25"/>
      <c r="F36" s="25"/>
      <c r="G36" s="25"/>
      <c r="H36" s="25"/>
      <c r="I36" s="25"/>
      <c r="J36" s="25"/>
      <c r="K36" s="25"/>
      <c r="L36" s="25"/>
      <c r="M36" s="25"/>
      <c r="N36" s="25"/>
      <c r="O36" s="25"/>
      <c r="P36" s="25"/>
      <c r="S36" s="24"/>
      <c r="T36" s="24"/>
      <c r="V36" s="24"/>
      <c r="W36" s="24"/>
      <c r="X36" s="24"/>
      <c r="Y36" s="24"/>
      <c r="Z36" s="24"/>
      <c r="AA36" s="24"/>
      <c r="AB36" s="24"/>
      <c r="AC36" s="24"/>
      <c r="AD36" s="24"/>
      <c r="AE36" s="24"/>
      <c r="AF36" s="24"/>
      <c r="AG36" s="24"/>
      <c r="AH36" s="24"/>
    </row>
    <row r="37" spans="1:34" x14ac:dyDescent="0.2">
      <c r="V37" s="25">
        <v>443</v>
      </c>
    </row>
    <row r="38" spans="1:34" ht="17" thickBot="1" x14ac:dyDescent="0.25"/>
    <row r="39" spans="1:34" s="75" customFormat="1" ht="51" x14ac:dyDescent="0.2">
      <c r="R39" s="108" t="s">
        <v>139</v>
      </c>
      <c r="S39" s="109" t="s">
        <v>119</v>
      </c>
      <c r="T39" s="109" t="s">
        <v>140</v>
      </c>
      <c r="U39" s="109" t="s">
        <v>141</v>
      </c>
      <c r="V39" s="109" t="s">
        <v>142</v>
      </c>
      <c r="W39" s="109" t="s">
        <v>103</v>
      </c>
      <c r="X39" s="109" t="s">
        <v>108</v>
      </c>
      <c r="Y39" s="109" t="s">
        <v>102</v>
      </c>
      <c r="Z39" s="109" t="s">
        <v>104</v>
      </c>
      <c r="AA39" s="110" t="s">
        <v>105</v>
      </c>
      <c r="AC39" s="75" t="s">
        <v>126</v>
      </c>
      <c r="AD39" s="75" t="s">
        <v>143</v>
      </c>
      <c r="AE39" s="75" t="s">
        <v>152</v>
      </c>
    </row>
    <row r="40" spans="1:34" x14ac:dyDescent="0.2">
      <c r="A40" s="25"/>
      <c r="B40" s="25"/>
      <c r="C40" s="25"/>
      <c r="D40" s="25"/>
      <c r="F40" s="25"/>
      <c r="G40" s="25"/>
      <c r="H40" s="25"/>
      <c r="I40" s="25"/>
      <c r="J40" s="25"/>
      <c r="K40" s="25"/>
      <c r="L40" s="25"/>
      <c r="M40" s="25"/>
      <c r="N40" s="25"/>
      <c r="O40" s="25"/>
      <c r="P40" s="25"/>
      <c r="Q40" s="25"/>
      <c r="R40" s="209">
        <v>2</v>
      </c>
      <c r="S40" s="203">
        <v>600</v>
      </c>
      <c r="T40" s="203">
        <v>400</v>
      </c>
      <c r="U40" s="203">
        <v>300</v>
      </c>
      <c r="V40" s="203">
        <v>100</v>
      </c>
      <c r="W40" s="203">
        <v>138</v>
      </c>
      <c r="X40" s="203" t="s">
        <v>109</v>
      </c>
      <c r="Y40" s="111" t="s">
        <v>106</v>
      </c>
      <c r="Z40" s="112">
        <v>0.432</v>
      </c>
      <c r="AA40" s="113">
        <v>60</v>
      </c>
      <c r="AC40" s="24">
        <v>300</v>
      </c>
      <c r="AD40" s="121">
        <f>EXP(-$X$50*AC40)/$Y$50</f>
        <v>0.49232652404399763</v>
      </c>
      <c r="AE40" s="121">
        <f>EXP(-$X$51*$AC40)/$Y$51</f>
        <v>0.55663196660934999</v>
      </c>
    </row>
    <row r="41" spans="1:34" x14ac:dyDescent="0.2">
      <c r="A41" s="25"/>
      <c r="B41" s="25"/>
      <c r="C41" s="25"/>
      <c r="D41" s="25"/>
      <c r="F41" s="25"/>
      <c r="G41" s="25"/>
      <c r="H41" s="25"/>
      <c r="I41" s="25"/>
      <c r="J41" s="25"/>
      <c r="K41" s="25"/>
      <c r="L41" s="25"/>
      <c r="M41" s="25"/>
      <c r="N41" s="25"/>
      <c r="O41" s="25"/>
      <c r="P41" s="25"/>
      <c r="Q41" s="25"/>
      <c r="R41" s="209"/>
      <c r="S41" s="203"/>
      <c r="T41" s="203"/>
      <c r="U41" s="203"/>
      <c r="V41" s="203"/>
      <c r="W41" s="203"/>
      <c r="X41" s="203"/>
      <c r="Y41" s="111" t="s">
        <v>107</v>
      </c>
      <c r="Z41" s="112">
        <v>0.48299999999999998</v>
      </c>
      <c r="AA41" s="114">
        <v>67</v>
      </c>
      <c r="AC41" s="24">
        <v>400</v>
      </c>
      <c r="AD41" s="121">
        <f t="shared" ref="AD41:AD45" si="1">EXP(-$X$50*AC41)/$Y$50</f>
        <v>0.43228670403863206</v>
      </c>
      <c r="AE41" s="121">
        <f>EXP(-$X$51*$AC41)/$Y$51</f>
        <v>0.49966962891324052</v>
      </c>
    </row>
    <row r="42" spans="1:34" x14ac:dyDescent="0.2">
      <c r="A42" s="25"/>
      <c r="B42" s="25"/>
      <c r="C42" s="25"/>
      <c r="D42" s="25"/>
      <c r="F42" s="25"/>
      <c r="G42" s="25"/>
      <c r="H42" s="25"/>
      <c r="I42" s="25"/>
      <c r="J42" s="25"/>
      <c r="K42" s="25"/>
      <c r="L42" s="25"/>
      <c r="M42" s="25"/>
      <c r="N42" s="25"/>
      <c r="O42" s="25"/>
      <c r="P42" s="25"/>
      <c r="Q42" s="25"/>
      <c r="R42" s="209"/>
      <c r="S42" s="203"/>
      <c r="T42" s="203"/>
      <c r="U42" s="203"/>
      <c r="V42" s="203"/>
      <c r="W42" s="203"/>
      <c r="X42" s="203" t="s">
        <v>110</v>
      </c>
      <c r="Y42" s="111" t="s">
        <v>106</v>
      </c>
      <c r="Z42" s="112">
        <v>0.44700000000000001</v>
      </c>
      <c r="AA42" s="114">
        <v>62</v>
      </c>
      <c r="AC42" s="101">
        <v>366</v>
      </c>
      <c r="AD42" s="121">
        <f t="shared" si="1"/>
        <v>0.45183049501768785</v>
      </c>
      <c r="AE42" s="121">
        <f>EXP(-$X$51*$AC42)/$Y$51</f>
        <v>0.51835097253175855</v>
      </c>
    </row>
    <row r="43" spans="1:34" x14ac:dyDescent="0.2">
      <c r="A43" s="25"/>
      <c r="B43" s="25"/>
      <c r="C43" s="25"/>
      <c r="D43" s="25"/>
      <c r="F43" s="25"/>
      <c r="G43" s="25"/>
      <c r="H43" s="25"/>
      <c r="I43" s="25"/>
      <c r="J43" s="25"/>
      <c r="K43" s="25"/>
      <c r="L43" s="25"/>
      <c r="M43" s="25"/>
      <c r="N43" s="25"/>
      <c r="O43" s="25"/>
      <c r="P43" s="25"/>
      <c r="Q43" s="25"/>
      <c r="R43" s="209"/>
      <c r="S43" s="203"/>
      <c r="T43" s="203"/>
      <c r="U43" s="203"/>
      <c r="V43" s="203"/>
      <c r="W43" s="203"/>
      <c r="X43" s="203"/>
      <c r="Y43" s="111" t="s">
        <v>107</v>
      </c>
      <c r="Z43" s="112">
        <v>0.5</v>
      </c>
      <c r="AA43" s="113">
        <v>69</v>
      </c>
      <c r="AC43" s="101">
        <v>274</v>
      </c>
      <c r="AD43" s="121">
        <f t="shared" si="1"/>
        <v>0.50925861727376909</v>
      </c>
      <c r="AE43" s="121">
        <f>EXP(-$X$51*$AC43)/$Y$51</f>
        <v>0.5724773298670065</v>
      </c>
    </row>
    <row r="44" spans="1:34" x14ac:dyDescent="0.2">
      <c r="A44" s="25"/>
      <c r="B44" s="25"/>
      <c r="C44" s="25"/>
      <c r="D44" s="25"/>
      <c r="F44" s="25"/>
      <c r="G44" s="25"/>
      <c r="H44" s="25"/>
      <c r="I44" s="25"/>
      <c r="J44" s="25"/>
      <c r="K44" s="25"/>
      <c r="L44" s="25"/>
      <c r="M44" s="25"/>
      <c r="N44" s="25"/>
      <c r="O44" s="25"/>
      <c r="P44" s="25"/>
      <c r="Q44" s="25"/>
      <c r="R44" s="209">
        <f>S44/U44</f>
        <v>1.875</v>
      </c>
      <c r="S44" s="203">
        <v>300</v>
      </c>
      <c r="T44" s="203">
        <v>300</v>
      </c>
      <c r="U44" s="203">
        <v>160</v>
      </c>
      <c r="V44" s="203">
        <v>140</v>
      </c>
      <c r="W44" s="203">
        <v>188</v>
      </c>
      <c r="X44" s="203" t="s">
        <v>109</v>
      </c>
      <c r="Y44" s="111" t="s">
        <v>106</v>
      </c>
      <c r="Z44" s="112">
        <v>0.49199999999999999</v>
      </c>
      <c r="AA44" s="113">
        <v>92</v>
      </c>
      <c r="AC44" s="101">
        <v>443</v>
      </c>
      <c r="AD44" s="121">
        <f t="shared" si="1"/>
        <v>0.40877553439331132</v>
      </c>
      <c r="AE44" s="121">
        <f t="shared" ref="AE44" si="2">EXP(-$X$51*AC44)/$Y$51</f>
        <v>0.47700432933214404</v>
      </c>
    </row>
    <row r="45" spans="1:34" x14ac:dyDescent="0.2">
      <c r="A45" s="25"/>
      <c r="B45" s="25"/>
      <c r="C45" s="25"/>
      <c r="D45" s="25"/>
      <c r="F45" s="25"/>
      <c r="G45" s="25"/>
      <c r="H45" s="25"/>
      <c r="I45" s="25"/>
      <c r="J45" s="25"/>
      <c r="K45" s="25"/>
      <c r="L45" s="25"/>
      <c r="M45" s="25"/>
      <c r="N45" s="25"/>
      <c r="O45" s="25"/>
      <c r="P45" s="25"/>
      <c r="Q45" s="25"/>
      <c r="R45" s="209"/>
      <c r="S45" s="203"/>
      <c r="T45" s="203"/>
      <c r="U45" s="203"/>
      <c r="V45" s="203"/>
      <c r="W45" s="203"/>
      <c r="X45" s="203"/>
      <c r="Y45" s="111" t="s">
        <v>107</v>
      </c>
      <c r="Z45" s="112">
        <v>0.54100000000000004</v>
      </c>
      <c r="AA45" s="114">
        <v>102</v>
      </c>
      <c r="AC45" s="101">
        <v>342</v>
      </c>
      <c r="AD45" s="121">
        <f t="shared" si="1"/>
        <v>0.46615577027911198</v>
      </c>
      <c r="AE45" s="121">
        <f>EXP(-$X$51*$AC45)/$Y$51</f>
        <v>0.53195679835004561</v>
      </c>
    </row>
    <row r="46" spans="1:34" x14ac:dyDescent="0.2">
      <c r="A46" s="25"/>
      <c r="B46" s="25"/>
      <c r="C46" s="25"/>
      <c r="D46" s="25"/>
      <c r="F46" s="25"/>
      <c r="G46" s="25"/>
      <c r="H46" s="25"/>
      <c r="I46" s="25"/>
      <c r="J46" s="25"/>
      <c r="K46" s="25"/>
      <c r="L46" s="25"/>
      <c r="M46" s="25"/>
      <c r="N46" s="25"/>
      <c r="O46" s="25"/>
      <c r="P46" s="25"/>
      <c r="Q46" s="25"/>
      <c r="R46" s="209"/>
      <c r="S46" s="203"/>
      <c r="T46" s="203"/>
      <c r="U46" s="203"/>
      <c r="V46" s="203"/>
      <c r="W46" s="203"/>
      <c r="X46" s="203" t="s">
        <v>110</v>
      </c>
      <c r="Y46" s="111" t="s">
        <v>106</v>
      </c>
      <c r="Z46" s="112">
        <v>0.50700000000000001</v>
      </c>
      <c r="AA46" s="114">
        <v>95</v>
      </c>
    </row>
    <row r="47" spans="1:34" ht="17" thickBot="1" x14ac:dyDescent="0.25">
      <c r="A47" s="25"/>
      <c r="B47" s="25"/>
      <c r="C47" s="25"/>
      <c r="D47" s="25"/>
      <c r="F47" s="25"/>
      <c r="G47" s="25"/>
      <c r="H47" s="25"/>
      <c r="I47" s="25"/>
      <c r="J47" s="25"/>
      <c r="K47" s="25"/>
      <c r="L47" s="25"/>
      <c r="M47" s="25"/>
      <c r="N47" s="25"/>
      <c r="O47" s="25"/>
      <c r="P47" s="25"/>
      <c r="Q47" s="25"/>
      <c r="R47" s="210"/>
      <c r="S47" s="207"/>
      <c r="T47" s="207"/>
      <c r="U47" s="207"/>
      <c r="V47" s="207"/>
      <c r="W47" s="207"/>
      <c r="X47" s="207"/>
      <c r="Y47" s="115" t="s">
        <v>107</v>
      </c>
      <c r="Z47" s="116">
        <v>0.55700000000000005</v>
      </c>
      <c r="AA47" s="117">
        <v>105</v>
      </c>
      <c r="AC47" s="101">
        <v>445</v>
      </c>
      <c r="AD47" s="121">
        <f>EXP(-$X$50*AC47)/$Y$50</f>
        <v>0.40771366524604691</v>
      </c>
      <c r="AE47" s="121">
        <f>EXP(-$X$51*$AC47)/$Y$51</f>
        <v>0.47597551992744747</v>
      </c>
    </row>
    <row r="49" spans="19:31" x14ac:dyDescent="0.2">
      <c r="X49" s="25" t="s">
        <v>148</v>
      </c>
      <c r="Y49" s="25" t="s">
        <v>149</v>
      </c>
      <c r="AC49" s="101">
        <v>40</v>
      </c>
      <c r="AD49" s="121">
        <f>EXP(-$X$50*AC49)/$Y$50</f>
        <v>0.69040632188028461</v>
      </c>
      <c r="AE49" s="121">
        <f>EXP(-$X$51*$AC49)/$Y$51</f>
        <v>0.73700365191137673</v>
      </c>
    </row>
    <row r="50" spans="19:31" ht="18" x14ac:dyDescent="0.2">
      <c r="W50" s="25" t="s">
        <v>144</v>
      </c>
      <c r="X50" s="120">
        <v>1.3005312824819781E-3</v>
      </c>
      <c r="Y50" s="25">
        <v>1.375</v>
      </c>
    </row>
    <row r="51" spans="19:31" ht="18" x14ac:dyDescent="0.2">
      <c r="W51" s="25" t="s">
        <v>147</v>
      </c>
      <c r="X51" s="25">
        <v>1.0795714150509238E-3</v>
      </c>
      <c r="Y51" s="25">
        <v>1.2995000000000001</v>
      </c>
    </row>
    <row r="53" spans="19:31" x14ac:dyDescent="0.2">
      <c r="X53" s="25">
        <v>1.2995000000000001</v>
      </c>
    </row>
    <row r="54" spans="19:31" ht="18" x14ac:dyDescent="0.2">
      <c r="S54" s="25">
        <f>LN(Z43)</f>
        <v>-0.69314718055994529</v>
      </c>
      <c r="T54" s="25">
        <v>400</v>
      </c>
      <c r="W54" s="25" t="s">
        <v>147</v>
      </c>
      <c r="X54" s="118">
        <f>T56</f>
        <v>1.0795714150509238E-3</v>
      </c>
      <c r="AA54" s="25" t="s">
        <v>150</v>
      </c>
      <c r="AB54" s="25" t="s">
        <v>151</v>
      </c>
      <c r="AD54" s="118">
        <f>X54*100</f>
        <v>0.10795714150509239</v>
      </c>
    </row>
    <row r="55" spans="19:31" x14ac:dyDescent="0.2">
      <c r="S55" s="25">
        <f>LN(Z47)</f>
        <v>-0.5851900390548529</v>
      </c>
      <c r="T55" s="25">
        <v>300</v>
      </c>
      <c r="W55" s="25" t="s">
        <v>145</v>
      </c>
      <c r="X55" s="25">
        <v>445</v>
      </c>
      <c r="Z55" s="25">
        <v>400</v>
      </c>
      <c r="AA55" s="25">
        <v>43.2</v>
      </c>
      <c r="AB55" s="25">
        <v>50</v>
      </c>
    </row>
    <row r="56" spans="19:31" x14ac:dyDescent="0.2">
      <c r="T56" s="25">
        <f>(S55-S54)/100</f>
        <v>1.0795714150509238E-3</v>
      </c>
      <c r="W56" s="25" t="s">
        <v>146</v>
      </c>
      <c r="X56" s="119">
        <f>EXP(-$X$51*$X55)/$Y$51</f>
        <v>0.47597551992744747</v>
      </c>
      <c r="Z56" s="25">
        <v>300</v>
      </c>
      <c r="AA56" s="25">
        <v>49.2</v>
      </c>
      <c r="AB56" s="25">
        <v>55.7</v>
      </c>
    </row>
  </sheetData>
  <mergeCells count="29">
    <mergeCell ref="A1:D1"/>
    <mergeCell ref="X44:X45"/>
    <mergeCell ref="X46:X47"/>
    <mergeCell ref="Z25:Z26"/>
    <mergeCell ref="Z27:Z28"/>
    <mergeCell ref="Z29:Z30"/>
    <mergeCell ref="R23:X23"/>
    <mergeCell ref="Z23:AF23"/>
    <mergeCell ref="R44:R47"/>
    <mergeCell ref="S44:S47"/>
    <mergeCell ref="T44:T47"/>
    <mergeCell ref="U44:U47"/>
    <mergeCell ref="V44:V47"/>
    <mergeCell ref="W44:W47"/>
    <mergeCell ref="R29:R30"/>
    <mergeCell ref="R40:R43"/>
    <mergeCell ref="N10:P10"/>
    <mergeCell ref="I10:L10"/>
    <mergeCell ref="X40:X41"/>
    <mergeCell ref="X42:X43"/>
    <mergeCell ref="N17:P17"/>
    <mergeCell ref="H17:L17"/>
    <mergeCell ref="R25:R26"/>
    <mergeCell ref="R27:R28"/>
    <mergeCell ref="S40:S43"/>
    <mergeCell ref="T40:T43"/>
    <mergeCell ref="U40:U43"/>
    <mergeCell ref="V40:V43"/>
    <mergeCell ref="W40:W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B3A41-CBF1-AC49-B1AF-2B52F65D5BCD}">
  <dimension ref="A1:AW56"/>
  <sheetViews>
    <sheetView topLeftCell="R11" zoomScale="242" zoomScaleNormal="242" workbookViewId="0">
      <selection activeCell="U25" sqref="U25"/>
    </sheetView>
  </sheetViews>
  <sheetFormatPr baseColWidth="10" defaultRowHeight="16" x14ac:dyDescent="0.2"/>
  <cols>
    <col min="1" max="2" width="10.83203125" style="24"/>
    <col min="3" max="3" width="11.6640625" style="24" bestFit="1" customWidth="1"/>
    <col min="4" max="4" width="10.83203125" style="24"/>
    <col min="5" max="5" width="10.83203125" style="25"/>
    <col min="6" max="6" width="13" style="24" bestFit="1" customWidth="1"/>
    <col min="7" max="7" width="7.1640625" style="24" customWidth="1"/>
    <col min="8" max="11" width="10.83203125" style="24"/>
    <col min="12" max="12" width="9.83203125" style="24" customWidth="1"/>
    <col min="13" max="13" width="0.83203125" style="24" customWidth="1"/>
    <col min="14" max="16" width="10.83203125" style="24"/>
    <col min="17" max="17" width="0.83203125" style="24" customWidth="1"/>
    <col min="18" max="18" width="14" style="24" bestFit="1" customWidth="1"/>
    <col min="19" max="19" width="12.5" style="25" bestFit="1" customWidth="1"/>
    <col min="20" max="20" width="14.5" style="25" bestFit="1" customWidth="1"/>
    <col min="21" max="23" width="10.83203125" style="25"/>
    <col min="24" max="24" width="12.6640625" style="25" bestFit="1" customWidth="1"/>
    <col min="25" max="25" width="10.83203125" style="25"/>
    <col min="26" max="26" width="13.33203125" style="25" bestFit="1" customWidth="1"/>
    <col min="27" max="27" width="10.83203125" style="25"/>
    <col min="28" max="28" width="13.5" style="25" bestFit="1" customWidth="1"/>
    <col min="29" max="36" width="10.83203125" style="25"/>
    <col min="37" max="37" width="13.5" style="25" bestFit="1" customWidth="1"/>
    <col min="38" max="42" width="10.83203125" style="25"/>
    <col min="43" max="43" width="11.6640625" style="25" bestFit="1" customWidth="1"/>
    <col min="44" max="44" width="10.83203125" style="25"/>
    <col min="45" max="45" width="13.5" style="25" bestFit="1" customWidth="1"/>
    <col min="46" max="16384" width="10.83203125" style="25"/>
  </cols>
  <sheetData>
    <row r="1" spans="1:22" ht="17" thickBot="1" x14ac:dyDescent="0.25">
      <c r="A1" s="206" t="s">
        <v>154</v>
      </c>
      <c r="B1" s="206"/>
      <c r="C1" s="206"/>
      <c r="D1" s="206"/>
    </row>
    <row r="2" spans="1:22" ht="54" x14ac:dyDescent="0.2">
      <c r="A2" s="30"/>
      <c r="B2" s="93" t="s">
        <v>127</v>
      </c>
      <c r="C2" s="93" t="s">
        <v>130</v>
      </c>
      <c r="D2" s="95" t="s">
        <v>128</v>
      </c>
    </row>
    <row r="3" spans="1:22" x14ac:dyDescent="0.2">
      <c r="A3" s="33" t="s">
        <v>94</v>
      </c>
      <c r="B3" s="29">
        <v>5.41</v>
      </c>
      <c r="C3" s="29" t="s">
        <v>131</v>
      </c>
      <c r="D3" s="34">
        <v>3.7</v>
      </c>
    </row>
    <row r="4" spans="1:22" x14ac:dyDescent="0.2">
      <c r="A4" s="33" t="s">
        <v>5</v>
      </c>
      <c r="B4" s="29">
        <v>5.41</v>
      </c>
      <c r="C4" s="29" t="s">
        <v>132</v>
      </c>
      <c r="D4" s="34">
        <v>7.4</v>
      </c>
    </row>
    <row r="5" spans="1:22" ht="17" thickBot="1" x14ac:dyDescent="0.25">
      <c r="A5" s="35" t="s">
        <v>65</v>
      </c>
      <c r="B5" s="36">
        <v>24.06</v>
      </c>
      <c r="C5" s="36" t="s">
        <v>133</v>
      </c>
      <c r="D5" s="37">
        <v>2.1</v>
      </c>
    </row>
    <row r="8" spans="1:22" x14ac:dyDescent="0.2">
      <c r="V8"/>
    </row>
    <row r="9" spans="1:22" ht="17" thickBot="1" x14ac:dyDescent="0.25"/>
    <row r="10" spans="1:22" ht="17" thickBot="1" x14ac:dyDescent="0.25">
      <c r="H10" s="146"/>
      <c r="I10" s="200" t="s">
        <v>155</v>
      </c>
      <c r="J10" s="201"/>
      <c r="K10" s="201"/>
      <c r="L10" s="202"/>
      <c r="M10" s="151"/>
      <c r="N10" s="200" t="s">
        <v>156</v>
      </c>
      <c r="O10" s="201"/>
      <c r="P10" s="202"/>
      <c r="Q10" s="148"/>
      <c r="R10" s="200" t="s">
        <v>178</v>
      </c>
      <c r="S10" s="201"/>
      <c r="T10" s="202"/>
    </row>
    <row r="11" spans="1:22" ht="37" x14ac:dyDescent="0.2">
      <c r="F11" s="96" t="s">
        <v>121</v>
      </c>
      <c r="G11" s="93" t="s">
        <v>122</v>
      </c>
      <c r="H11" s="93" t="s">
        <v>135</v>
      </c>
      <c r="I11" s="93" t="s">
        <v>134</v>
      </c>
      <c r="J11" s="93" t="s">
        <v>172</v>
      </c>
      <c r="K11" s="93" t="s">
        <v>176</v>
      </c>
      <c r="L11" s="93" t="s">
        <v>173</v>
      </c>
      <c r="M11" s="150"/>
      <c r="N11" s="93" t="s">
        <v>175</v>
      </c>
      <c r="O11" s="93" t="s">
        <v>174</v>
      </c>
      <c r="P11" s="95" t="s">
        <v>173</v>
      </c>
      <c r="Q11" s="148"/>
      <c r="R11" s="93" t="s">
        <v>179</v>
      </c>
      <c r="S11" s="93" t="s">
        <v>174</v>
      </c>
      <c r="T11" s="95" t="s">
        <v>173</v>
      </c>
    </row>
    <row r="12" spans="1:22" x14ac:dyDescent="0.2">
      <c r="F12" s="97" t="s">
        <v>124</v>
      </c>
      <c r="G12" s="29">
        <v>448</v>
      </c>
      <c r="H12" s="29">
        <v>512</v>
      </c>
      <c r="I12" s="29" t="s">
        <v>129</v>
      </c>
      <c r="J12" s="29">
        <v>366</v>
      </c>
      <c r="K12" s="91">
        <f>J12*63%</f>
        <v>230.58</v>
      </c>
      <c r="L12" s="91">
        <f>J12-K12</f>
        <v>135.41999999999999</v>
      </c>
      <c r="M12" s="149"/>
      <c r="N12" s="91">
        <f>O12+P12</f>
        <v>274.25932430827692</v>
      </c>
      <c r="O12" s="91">
        <f>H12/$D$5</f>
        <v>243.8095238095238</v>
      </c>
      <c r="P12" s="92">
        <f>L12*$B$3/$B$5</f>
        <v>30.449800498753113</v>
      </c>
      <c r="Q12" s="148"/>
      <c r="R12" s="91">
        <f>S12+T12</f>
        <v>219.09074592801971</v>
      </c>
      <c r="S12" s="91">
        <f>H12/$D$5*212/274</f>
        <v>188.64094542926659</v>
      </c>
      <c r="T12" s="92">
        <f>L12*$B$3/$B$5</f>
        <v>30.449800498753113</v>
      </c>
    </row>
    <row r="13" spans="1:22" x14ac:dyDescent="0.2">
      <c r="F13" s="97" t="s">
        <v>169</v>
      </c>
      <c r="G13" s="29">
        <v>640</v>
      </c>
      <c r="H13" s="29">
        <v>640</v>
      </c>
      <c r="I13" s="29" t="s">
        <v>129</v>
      </c>
      <c r="J13" s="29">
        <v>443</v>
      </c>
      <c r="K13" s="91">
        <f>J13*63%</f>
        <v>279.08999999999997</v>
      </c>
      <c r="L13" s="91">
        <f>J13-K13</f>
        <v>163.91000000000003</v>
      </c>
      <c r="M13" s="90"/>
      <c r="N13" s="91">
        <f>O13+P13</f>
        <v>341.6178108300677</v>
      </c>
      <c r="O13" s="91">
        <f>H13/$D$5</f>
        <v>304.76190476190476</v>
      </c>
      <c r="P13" s="92">
        <f>L13*$B$3/$B$5</f>
        <v>36.85590606816293</v>
      </c>
      <c r="Q13" s="148"/>
      <c r="R13" s="91">
        <f>S13+T13</f>
        <v>272.65708785474618</v>
      </c>
      <c r="S13" s="91">
        <f>H13/$D$5*212/274</f>
        <v>235.80118178658324</v>
      </c>
      <c r="T13" s="92">
        <f>L13*$B$3/$B$5</f>
        <v>36.85590606816293</v>
      </c>
    </row>
    <row r="14" spans="1:22" ht="17" thickBot="1" x14ac:dyDescent="0.25">
      <c r="F14" s="140" t="s">
        <v>123</v>
      </c>
      <c r="G14" s="36" t="s">
        <v>170</v>
      </c>
      <c r="H14" s="36">
        <v>870</v>
      </c>
      <c r="I14" s="36" t="s">
        <v>171</v>
      </c>
      <c r="J14" s="36">
        <v>366</v>
      </c>
      <c r="K14" s="91">
        <f>J14*63%</f>
        <v>230.58</v>
      </c>
      <c r="L14" s="91">
        <f>J14-K14</f>
        <v>135.41999999999999</v>
      </c>
      <c r="M14" s="141"/>
      <c r="N14" s="91">
        <f>O14+P14</f>
        <v>444.7355147844674</v>
      </c>
      <c r="O14" s="91">
        <f>H14/$D$5</f>
        <v>414.28571428571428</v>
      </c>
      <c r="P14" s="92">
        <f>L14*$B$3/$B$5</f>
        <v>30.449800498753113</v>
      </c>
      <c r="Q14" s="148"/>
      <c r="R14" s="91">
        <f>S14+T14</f>
        <v>350.99203198988971</v>
      </c>
      <c r="S14" s="91">
        <f>H14/$D$5*212/274</f>
        <v>320.54223149113659</v>
      </c>
      <c r="T14" s="92">
        <f>L14*$B$3/$B$5</f>
        <v>30.449800498753113</v>
      </c>
    </row>
    <row r="17" spans="1:49" ht="17" thickBot="1" x14ac:dyDescent="0.25">
      <c r="H17" s="204"/>
      <c r="I17" s="204"/>
      <c r="J17" s="204"/>
      <c r="K17" s="204"/>
      <c r="L17" s="204"/>
      <c r="N17" s="204"/>
      <c r="O17" s="204"/>
      <c r="P17" s="204"/>
    </row>
    <row r="18" spans="1:49" ht="34" x14ac:dyDescent="0.2">
      <c r="F18" s="142"/>
      <c r="G18" s="75"/>
      <c r="H18" s="75"/>
      <c r="I18" s="75"/>
      <c r="J18" s="75"/>
      <c r="K18" s="75"/>
      <c r="L18" s="75"/>
      <c r="M18" s="75"/>
      <c r="N18" s="75"/>
      <c r="O18" s="75"/>
      <c r="P18" s="75"/>
      <c r="S18" s="24"/>
      <c r="Y18" s="131" t="s">
        <v>167</v>
      </c>
      <c r="Z18" s="132" t="s">
        <v>166</v>
      </c>
      <c r="AA18" s="133" t="s">
        <v>79</v>
      </c>
      <c r="AB18" s="133" t="s">
        <v>165</v>
      </c>
      <c r="AC18" s="134" t="s">
        <v>146</v>
      </c>
    </row>
    <row r="19" spans="1:49" x14ac:dyDescent="0.2">
      <c r="F19" s="144"/>
      <c r="K19" s="145"/>
      <c r="L19" s="145"/>
      <c r="N19" s="145"/>
      <c r="O19" s="145"/>
      <c r="P19" s="145"/>
      <c r="S19" s="24"/>
      <c r="Y19" s="135" t="s">
        <v>136</v>
      </c>
      <c r="Z19" s="1" t="s">
        <v>163</v>
      </c>
      <c r="AA19" s="130">
        <v>366</v>
      </c>
      <c r="AB19" s="130">
        <v>119</v>
      </c>
      <c r="AC19" s="136">
        <v>0.99099999999999999</v>
      </c>
    </row>
    <row r="20" spans="1:49" x14ac:dyDescent="0.2">
      <c r="Y20" s="135" t="s">
        <v>168</v>
      </c>
      <c r="Z20" s="1" t="s">
        <v>164</v>
      </c>
      <c r="AA20" s="130">
        <v>443</v>
      </c>
      <c r="AB20" s="130">
        <v>90</v>
      </c>
      <c r="AC20" s="136">
        <v>0.99099999999999999</v>
      </c>
    </row>
    <row r="21" spans="1:49" ht="17" thickBot="1" x14ac:dyDescent="0.25">
      <c r="Y21" s="137"/>
      <c r="Z21" s="138" t="s">
        <v>162</v>
      </c>
      <c r="AA21" s="138">
        <v>356</v>
      </c>
      <c r="AB21" s="138">
        <v>122</v>
      </c>
      <c r="AC21" s="139">
        <v>0.99099999999999999</v>
      </c>
    </row>
    <row r="23" spans="1:49" ht="17" thickBot="1" x14ac:dyDescent="0.25">
      <c r="R23" s="206" t="s">
        <v>153</v>
      </c>
      <c r="S23" s="206"/>
      <c r="T23" s="206"/>
      <c r="U23" s="206"/>
      <c r="V23" s="206"/>
      <c r="W23" s="206"/>
      <c r="X23" s="206"/>
      <c r="Z23" s="206" t="s">
        <v>177</v>
      </c>
      <c r="AA23" s="206"/>
      <c r="AB23" s="206"/>
      <c r="AC23" s="206"/>
      <c r="AD23" s="206"/>
      <c r="AE23" s="206"/>
      <c r="AF23" s="206"/>
      <c r="AI23" s="206" t="s">
        <v>180</v>
      </c>
      <c r="AJ23" s="206"/>
      <c r="AK23" s="206"/>
      <c r="AL23" s="206"/>
      <c r="AM23" s="206"/>
      <c r="AN23" s="206"/>
      <c r="AO23" s="206"/>
      <c r="AQ23" s="206" t="s">
        <v>177</v>
      </c>
      <c r="AR23" s="206"/>
      <c r="AS23" s="206"/>
      <c r="AT23" s="206"/>
      <c r="AU23" s="206"/>
      <c r="AV23" s="206"/>
      <c r="AW23" s="206"/>
    </row>
    <row r="24" spans="1:49" ht="20" x14ac:dyDescent="0.2">
      <c r="A24" s="25"/>
      <c r="B24" s="25"/>
      <c r="C24" s="25"/>
      <c r="D24" s="25"/>
      <c r="F24" s="25"/>
      <c r="G24" s="25"/>
      <c r="H24" s="25"/>
      <c r="I24" s="25"/>
      <c r="J24" s="25"/>
      <c r="K24" s="25"/>
      <c r="L24" s="25"/>
      <c r="M24" s="25"/>
      <c r="N24" s="25"/>
      <c r="O24" s="25"/>
      <c r="P24" s="25"/>
      <c r="Q24" s="25"/>
      <c r="R24" s="122" t="s">
        <v>159</v>
      </c>
      <c r="S24" s="98" t="s">
        <v>2</v>
      </c>
      <c r="T24" s="129" t="s">
        <v>160</v>
      </c>
      <c r="U24" s="98" t="s">
        <v>157</v>
      </c>
      <c r="V24" s="98" t="s">
        <v>85</v>
      </c>
      <c r="W24" s="99" t="s">
        <v>114</v>
      </c>
      <c r="X24" s="100" t="s">
        <v>158</v>
      </c>
      <c r="Z24" s="122" t="s">
        <v>159</v>
      </c>
      <c r="AA24" s="98" t="s">
        <v>2</v>
      </c>
      <c r="AB24" s="129" t="s">
        <v>160</v>
      </c>
      <c r="AC24" s="98" t="s">
        <v>157</v>
      </c>
      <c r="AD24" s="98" t="s">
        <v>85</v>
      </c>
      <c r="AE24" s="99" t="s">
        <v>114</v>
      </c>
      <c r="AF24" s="100" t="s">
        <v>158</v>
      </c>
      <c r="AI24" s="122" t="s">
        <v>159</v>
      </c>
      <c r="AJ24" s="98" t="s">
        <v>2</v>
      </c>
      <c r="AK24" s="129" t="s">
        <v>160</v>
      </c>
      <c r="AL24" s="98" t="s">
        <v>157</v>
      </c>
      <c r="AM24" s="98" t="s">
        <v>85</v>
      </c>
      <c r="AN24" s="99" t="s">
        <v>114</v>
      </c>
      <c r="AO24" s="100" t="s">
        <v>158</v>
      </c>
      <c r="AQ24" s="122" t="s">
        <v>159</v>
      </c>
      <c r="AR24" s="98" t="s">
        <v>2</v>
      </c>
      <c r="AS24" s="129" t="s">
        <v>160</v>
      </c>
      <c r="AT24" s="98" t="s">
        <v>157</v>
      </c>
      <c r="AU24" s="98" t="s">
        <v>85</v>
      </c>
      <c r="AV24" s="99" t="s">
        <v>114</v>
      </c>
      <c r="AW24" s="100" t="s">
        <v>158</v>
      </c>
    </row>
    <row r="25" spans="1:49" ht="17" x14ac:dyDescent="0.2">
      <c r="A25" s="25"/>
      <c r="B25" s="25"/>
      <c r="C25" s="25"/>
      <c r="D25" s="25"/>
      <c r="F25" s="25"/>
      <c r="G25" s="25"/>
      <c r="H25" s="25"/>
      <c r="I25" s="25"/>
      <c r="J25" s="25"/>
      <c r="K25" s="25"/>
      <c r="L25" s="25"/>
      <c r="M25" s="25"/>
      <c r="N25" s="25"/>
      <c r="O25" s="25"/>
      <c r="P25" s="25"/>
      <c r="Q25" s="25"/>
      <c r="R25" s="205" t="s">
        <v>137</v>
      </c>
      <c r="S25" s="125" t="s">
        <v>161</v>
      </c>
      <c r="T25" s="125">
        <v>366</v>
      </c>
      <c r="U25" s="125">
        <v>150</v>
      </c>
      <c r="V25" s="126">
        <v>0.78</v>
      </c>
      <c r="W25" s="127">
        <f>_xlfn.FLOOR.MATH(U25*V25,1)+1</f>
        <v>118</v>
      </c>
      <c r="X25" s="128">
        <f>8000/W25</f>
        <v>67.79661016949153</v>
      </c>
      <c r="Z25" s="205" t="s">
        <v>137</v>
      </c>
      <c r="AA25" s="125" t="s">
        <v>161</v>
      </c>
      <c r="AB25" s="125">
        <v>366</v>
      </c>
      <c r="AC25" s="125">
        <v>150</v>
      </c>
      <c r="AD25" s="126">
        <v>0.78</v>
      </c>
      <c r="AE25" s="127">
        <f>_xlfn.FLOOR.MATH(AC25*AD25,1)+1</f>
        <v>118</v>
      </c>
      <c r="AF25" s="128">
        <f>8000/AE25</f>
        <v>67.79661016949153</v>
      </c>
      <c r="AI25" s="205" t="s">
        <v>137</v>
      </c>
      <c r="AJ25" s="125" t="s">
        <v>161</v>
      </c>
      <c r="AK25" s="125">
        <v>366</v>
      </c>
      <c r="AL25" s="125">
        <v>150</v>
      </c>
      <c r="AM25" s="126">
        <v>0.78</v>
      </c>
      <c r="AN25" s="127">
        <f>_xlfn.FLOOR.MATH(AL25*AM25,1)+1</f>
        <v>118</v>
      </c>
      <c r="AO25" s="128">
        <f>8000/AN25</f>
        <v>67.79661016949153</v>
      </c>
      <c r="AQ25" s="205" t="s">
        <v>137</v>
      </c>
      <c r="AR25" s="125" t="s">
        <v>161</v>
      </c>
      <c r="AS25" s="125">
        <v>366</v>
      </c>
      <c r="AT25" s="125">
        <v>150</v>
      </c>
      <c r="AU25" s="126">
        <v>0.78</v>
      </c>
      <c r="AV25" s="127">
        <f>_xlfn.FLOOR.MATH(AT25*AU25,1)+1</f>
        <v>118</v>
      </c>
      <c r="AW25" s="128">
        <f>8000/AV25</f>
        <v>67.79661016949153</v>
      </c>
    </row>
    <row r="26" spans="1:49" ht="17" customHeight="1" x14ac:dyDescent="0.2">
      <c r="A26" s="25"/>
      <c r="B26" s="25"/>
      <c r="C26" s="25"/>
      <c r="D26" s="25"/>
      <c r="F26" s="25"/>
      <c r="G26" s="25"/>
      <c r="H26" s="25"/>
      <c r="I26" s="25"/>
      <c r="J26" s="25"/>
      <c r="K26" s="25"/>
      <c r="L26" s="25"/>
      <c r="M26" s="25"/>
      <c r="N26" s="25"/>
      <c r="O26" s="25"/>
      <c r="P26" s="25"/>
      <c r="Q26" s="25"/>
      <c r="R26" s="205"/>
      <c r="S26" s="101" t="s">
        <v>125</v>
      </c>
      <c r="T26" s="101">
        <v>274</v>
      </c>
      <c r="U26" s="101">
        <v>207</v>
      </c>
      <c r="V26" s="102">
        <v>0.60199999999999998</v>
      </c>
      <c r="W26" s="103">
        <f>_xlfn.FLOOR.MATH(U26*V26,1)</f>
        <v>124</v>
      </c>
      <c r="X26" s="104">
        <f>12000/W26</f>
        <v>96.774193548387103</v>
      </c>
      <c r="Z26" s="205"/>
      <c r="AA26" s="101" t="s">
        <v>125</v>
      </c>
      <c r="AB26" s="101">
        <v>274</v>
      </c>
      <c r="AC26" s="101">
        <v>207</v>
      </c>
      <c r="AD26" s="102">
        <v>0.64600000000000002</v>
      </c>
      <c r="AE26" s="103">
        <f>_xlfn.FLOOR.MATH(AC26*AD26,1)</f>
        <v>133</v>
      </c>
      <c r="AF26" s="104">
        <f t="shared" ref="AF26:AF28" si="0">8000/AE26</f>
        <v>60.150375939849624</v>
      </c>
      <c r="AI26" s="205"/>
      <c r="AJ26" s="101" t="s">
        <v>125</v>
      </c>
      <c r="AK26" s="101">
        <v>274</v>
      </c>
      <c r="AL26" s="101">
        <v>207</v>
      </c>
      <c r="AM26" s="102">
        <v>0.79700000000000004</v>
      </c>
      <c r="AN26" s="103">
        <f>_xlfn.FLOOR.MATH(AL26*AM26,1)</f>
        <v>164</v>
      </c>
      <c r="AO26" s="104">
        <f>12000/AN26</f>
        <v>73.170731707317074</v>
      </c>
      <c r="AQ26" s="205"/>
      <c r="AR26" s="101" t="s">
        <v>125</v>
      </c>
      <c r="AS26" s="101">
        <v>274</v>
      </c>
      <c r="AT26" s="101">
        <v>207</v>
      </c>
      <c r="AU26" s="102">
        <v>0.82499999999999996</v>
      </c>
      <c r="AV26" s="103">
        <f>_xlfn.FLOOR.MATH(AT26*AU26,1)</f>
        <v>170</v>
      </c>
      <c r="AW26" s="104">
        <f>10000/AV26</f>
        <v>58.823529411764703</v>
      </c>
    </row>
    <row r="27" spans="1:49" ht="17" x14ac:dyDescent="0.2">
      <c r="A27" s="25"/>
      <c r="B27" s="25"/>
      <c r="C27" s="25"/>
      <c r="D27" s="25"/>
      <c r="F27" s="25"/>
      <c r="G27" s="25"/>
      <c r="H27" s="25"/>
      <c r="I27" s="25"/>
      <c r="J27" s="25"/>
      <c r="K27" s="25"/>
      <c r="L27" s="25"/>
      <c r="M27" s="25"/>
      <c r="N27" s="25"/>
      <c r="O27" s="25"/>
      <c r="P27" s="25"/>
      <c r="Q27" s="25"/>
      <c r="R27" s="205" t="s">
        <v>138</v>
      </c>
      <c r="S27" s="125" t="s">
        <v>161</v>
      </c>
      <c r="T27" s="125">
        <v>443</v>
      </c>
      <c r="U27" s="125">
        <v>121</v>
      </c>
      <c r="V27" s="126">
        <v>0.75</v>
      </c>
      <c r="W27" s="127">
        <f>_xlfn.FLOOR.MATH(U27*V27,1)</f>
        <v>90</v>
      </c>
      <c r="X27" s="128">
        <f>8000/W27</f>
        <v>88.888888888888886</v>
      </c>
      <c r="Z27" s="205" t="s">
        <v>138</v>
      </c>
      <c r="AA27" s="125" t="s">
        <v>161</v>
      </c>
      <c r="AB27" s="125">
        <v>443</v>
      </c>
      <c r="AC27" s="125">
        <v>121</v>
      </c>
      <c r="AD27" s="126">
        <v>0.75</v>
      </c>
      <c r="AE27" s="127">
        <f>_xlfn.FLOOR.MATH(AC27*AD27,1)</f>
        <v>90</v>
      </c>
      <c r="AF27" s="128">
        <f t="shared" si="0"/>
        <v>88.888888888888886</v>
      </c>
      <c r="AI27" s="205" t="s">
        <v>138</v>
      </c>
      <c r="AJ27" s="125" t="s">
        <v>161</v>
      </c>
      <c r="AK27" s="125">
        <v>443</v>
      </c>
      <c r="AL27" s="125">
        <v>121</v>
      </c>
      <c r="AM27" s="126">
        <v>0.75</v>
      </c>
      <c r="AN27" s="127">
        <f>_xlfn.FLOOR.MATH(AL27*AM27,1)</f>
        <v>90</v>
      </c>
      <c r="AO27" s="128">
        <f>8000/AN27</f>
        <v>88.888888888888886</v>
      </c>
      <c r="AQ27" s="205" t="s">
        <v>138</v>
      </c>
      <c r="AR27" s="125" t="s">
        <v>161</v>
      </c>
      <c r="AS27" s="125">
        <v>443</v>
      </c>
      <c r="AT27" s="125">
        <v>121</v>
      </c>
      <c r="AU27" s="126">
        <v>0.75</v>
      </c>
      <c r="AV27" s="127">
        <f>_xlfn.FLOOR.MATH(AT27*AU27,1)</f>
        <v>90</v>
      </c>
      <c r="AW27" s="128">
        <f t="shared" ref="AW27" si="1">8000/AV27</f>
        <v>88.888888888888886</v>
      </c>
    </row>
    <row r="28" spans="1:49" ht="17" x14ac:dyDescent="0.2">
      <c r="A28" s="25"/>
      <c r="B28" s="25"/>
      <c r="C28" s="25"/>
      <c r="D28" s="25"/>
      <c r="F28" s="25"/>
      <c r="G28" s="25"/>
      <c r="H28" s="25"/>
      <c r="I28" s="25"/>
      <c r="J28" s="25"/>
      <c r="K28" s="25"/>
      <c r="L28" s="25"/>
      <c r="M28" s="25"/>
      <c r="N28" s="25"/>
      <c r="O28" s="25"/>
      <c r="P28" s="25"/>
      <c r="Q28" s="25"/>
      <c r="R28" s="205"/>
      <c r="S28" s="101" t="s">
        <v>125</v>
      </c>
      <c r="T28" s="101">
        <v>342</v>
      </c>
      <c r="U28" s="101">
        <v>163</v>
      </c>
      <c r="V28" s="102">
        <v>0.53100000000000003</v>
      </c>
      <c r="W28" s="103">
        <f>_xlfn.FLOOR.MATH(U28*V28,1)+1</f>
        <v>87</v>
      </c>
      <c r="X28" s="104">
        <f>12000/W28</f>
        <v>137.93103448275863</v>
      </c>
      <c r="Z28" s="205"/>
      <c r="AA28" s="101" t="s">
        <v>125</v>
      </c>
      <c r="AB28" s="101">
        <v>342</v>
      </c>
      <c r="AC28" s="101">
        <v>163</v>
      </c>
      <c r="AD28" s="102">
        <v>0.57999999999999996</v>
      </c>
      <c r="AE28" s="103">
        <f>_xlfn.FLOOR.MATH(AC28*AD28,1)+1</f>
        <v>95</v>
      </c>
      <c r="AF28" s="104">
        <f t="shared" si="0"/>
        <v>84.21052631578948</v>
      </c>
      <c r="AI28" s="205"/>
      <c r="AJ28" s="101" t="s">
        <v>125</v>
      </c>
      <c r="AK28" s="101">
        <v>342</v>
      </c>
      <c r="AL28" s="101">
        <v>163</v>
      </c>
      <c r="AM28" s="102">
        <v>0.74399999999999999</v>
      </c>
      <c r="AN28" s="103">
        <f>_xlfn.FLOOR.MATH(AL28*AM28,1)+1</f>
        <v>122</v>
      </c>
      <c r="AO28" s="104">
        <f>12000/AN28</f>
        <v>98.360655737704917</v>
      </c>
      <c r="AQ28" s="205"/>
      <c r="AR28" s="101" t="s">
        <v>125</v>
      </c>
      <c r="AS28" s="101">
        <v>342</v>
      </c>
      <c r="AT28" s="101">
        <v>163</v>
      </c>
      <c r="AU28" s="102">
        <v>0.77700000000000002</v>
      </c>
      <c r="AV28" s="103">
        <f>_xlfn.FLOOR.MATH(AT28*AU28,1)+1</f>
        <v>127</v>
      </c>
      <c r="AW28" s="104">
        <f>10000/AV28</f>
        <v>78.740157480314963</v>
      </c>
    </row>
    <row r="29" spans="1:49" ht="17" x14ac:dyDescent="0.2">
      <c r="A29" s="25"/>
      <c r="B29" s="25"/>
      <c r="C29" s="25"/>
      <c r="D29" s="25"/>
      <c r="F29" s="25"/>
      <c r="G29" s="25"/>
      <c r="H29" s="25"/>
      <c r="I29" s="25"/>
      <c r="J29" s="25"/>
      <c r="K29" s="25"/>
      <c r="L29" s="25"/>
      <c r="M29" s="25"/>
      <c r="N29" s="25"/>
      <c r="O29" s="25"/>
      <c r="P29" s="25"/>
      <c r="Q29" s="25"/>
      <c r="R29" s="205" t="s">
        <v>123</v>
      </c>
      <c r="S29" s="125" t="s">
        <v>5</v>
      </c>
      <c r="T29" s="125">
        <v>366</v>
      </c>
      <c r="U29" s="125">
        <v>150</v>
      </c>
      <c r="V29" s="126"/>
      <c r="W29" s="127"/>
      <c r="X29" s="128"/>
      <c r="Z29" s="205" t="s">
        <v>123</v>
      </c>
      <c r="AA29" s="125" t="s">
        <v>5</v>
      </c>
      <c r="AB29" s="125">
        <v>366</v>
      </c>
      <c r="AC29" s="125">
        <v>150</v>
      </c>
      <c r="AD29" s="126"/>
      <c r="AE29" s="127"/>
      <c r="AF29" s="128"/>
      <c r="AI29" s="205" t="s">
        <v>123</v>
      </c>
      <c r="AJ29" s="125" t="s">
        <v>5</v>
      </c>
      <c r="AK29" s="125">
        <v>366</v>
      </c>
      <c r="AL29" s="125">
        <v>150</v>
      </c>
      <c r="AM29" s="126"/>
      <c r="AN29" s="127"/>
      <c r="AO29" s="128"/>
      <c r="AQ29" s="205" t="s">
        <v>123</v>
      </c>
      <c r="AR29" s="125" t="s">
        <v>5</v>
      </c>
      <c r="AS29" s="125">
        <v>366</v>
      </c>
      <c r="AT29" s="125">
        <v>150</v>
      </c>
      <c r="AU29" s="126"/>
      <c r="AV29" s="127"/>
      <c r="AW29" s="128"/>
    </row>
    <row r="30" spans="1:49" ht="18" thickBot="1" x14ac:dyDescent="0.25">
      <c r="R30" s="208"/>
      <c r="S30" s="105" t="s">
        <v>125</v>
      </c>
      <c r="T30" s="105">
        <v>445</v>
      </c>
      <c r="U30" s="36">
        <v>125</v>
      </c>
      <c r="V30" s="123">
        <v>0.45</v>
      </c>
      <c r="W30" s="124">
        <f>_xlfn.FLOOR.MATH(U30*V30,1)+1</f>
        <v>57</v>
      </c>
      <c r="X30" s="106">
        <f>12000/W30</f>
        <v>210.52631578947367</v>
      </c>
      <c r="Z30" s="208"/>
      <c r="AA30" s="105" t="s">
        <v>125</v>
      </c>
      <c r="AB30" s="105">
        <v>445</v>
      </c>
      <c r="AC30" s="36">
        <v>125</v>
      </c>
      <c r="AD30" s="123">
        <v>0.503</v>
      </c>
      <c r="AE30" s="124">
        <f>_xlfn.FLOOR.MATH(AC30*AD30,1)+1</f>
        <v>63</v>
      </c>
      <c r="AF30" s="106">
        <f>8000/AE30</f>
        <v>126.98412698412699</v>
      </c>
      <c r="AI30" s="208"/>
      <c r="AJ30" s="105" t="s">
        <v>125</v>
      </c>
      <c r="AK30" s="105">
        <v>445</v>
      </c>
      <c r="AL30" s="36">
        <v>125</v>
      </c>
      <c r="AM30" s="123">
        <v>0.69699999999999995</v>
      </c>
      <c r="AN30" s="124">
        <f>_xlfn.FLOOR.MATH(AL30*AM30,1)+1</f>
        <v>88</v>
      </c>
      <c r="AO30" s="106">
        <f>12000/AN30</f>
        <v>136.36363636363637</v>
      </c>
      <c r="AQ30" s="208"/>
      <c r="AR30" s="105" t="s">
        <v>125</v>
      </c>
      <c r="AS30" s="105">
        <v>445</v>
      </c>
      <c r="AT30" s="36">
        <v>125</v>
      </c>
      <c r="AU30" s="123">
        <v>0.71899999999999997</v>
      </c>
      <c r="AV30" s="124">
        <f>_xlfn.FLOOR.MATH(AT30*AU30,1)+1</f>
        <v>90</v>
      </c>
      <c r="AW30" s="106">
        <f>10000/AV30</f>
        <v>111.11111111111111</v>
      </c>
    </row>
    <row r="32" spans="1:49" ht="17" thickBot="1" x14ac:dyDescent="0.25">
      <c r="A32" s="25"/>
      <c r="B32" s="25"/>
      <c r="C32" s="25"/>
      <c r="D32" s="25"/>
      <c r="F32" s="25"/>
      <c r="G32" s="25"/>
      <c r="H32" s="25"/>
      <c r="I32" s="25"/>
      <c r="J32" s="25"/>
      <c r="K32" s="25"/>
      <c r="L32" s="25"/>
      <c r="M32" s="25"/>
      <c r="N32" s="25"/>
      <c r="O32" s="25"/>
      <c r="P32" s="25"/>
      <c r="S32" s="24"/>
      <c r="T32" s="24"/>
      <c r="V32" s="24"/>
      <c r="W32" s="24"/>
      <c r="X32" s="24"/>
      <c r="Y32" s="24"/>
      <c r="Z32" s="24"/>
      <c r="AA32" s="24"/>
      <c r="AB32" s="24"/>
      <c r="AC32" s="147">
        <f>8/12.01</f>
        <v>0.66611157368859286</v>
      </c>
      <c r="AD32" s="24"/>
      <c r="AE32" s="24"/>
      <c r="AF32" s="24"/>
      <c r="AG32" s="24"/>
      <c r="AH32" s="24"/>
    </row>
    <row r="33" spans="1:34" x14ac:dyDescent="0.2">
      <c r="A33" s="25"/>
      <c r="B33" s="25"/>
      <c r="C33" s="25"/>
      <c r="D33" s="25"/>
      <c r="F33" s="25"/>
      <c r="G33" s="25"/>
      <c r="H33" s="25"/>
      <c r="I33" s="25"/>
      <c r="J33" s="25"/>
      <c r="K33" s="25"/>
      <c r="L33" s="25"/>
      <c r="M33" s="25"/>
      <c r="N33" s="25"/>
      <c r="O33" s="25"/>
      <c r="P33" s="25"/>
      <c r="Q33" s="25"/>
      <c r="R33" s="30" t="s">
        <v>74</v>
      </c>
      <c r="S33" s="31" t="s">
        <v>26</v>
      </c>
      <c r="T33" s="31" t="s">
        <v>90</v>
      </c>
      <c r="U33" s="31" t="s">
        <v>75</v>
      </c>
      <c r="V33" s="31" t="s">
        <v>76</v>
      </c>
      <c r="W33" s="31" t="s">
        <v>77</v>
      </c>
      <c r="X33" s="31" t="s">
        <v>78</v>
      </c>
      <c r="Y33" s="31" t="s">
        <v>79</v>
      </c>
      <c r="Z33" s="32" t="s">
        <v>80</v>
      </c>
    </row>
    <row r="34" spans="1:34" ht="19" x14ac:dyDescent="0.2">
      <c r="A34" s="25"/>
      <c r="B34" s="25"/>
      <c r="C34" s="25"/>
      <c r="D34" s="25"/>
      <c r="F34" s="25"/>
      <c r="G34" s="25"/>
      <c r="H34" s="25"/>
      <c r="I34" s="25"/>
      <c r="J34" s="25"/>
      <c r="K34" s="25"/>
      <c r="L34" s="25"/>
      <c r="M34" s="25"/>
      <c r="N34" s="25"/>
      <c r="O34" s="25"/>
      <c r="P34" s="25"/>
      <c r="Q34" s="25"/>
      <c r="R34" s="33" t="s">
        <v>24</v>
      </c>
      <c r="S34" s="29" t="s">
        <v>24</v>
      </c>
      <c r="T34" s="29" t="s">
        <v>24</v>
      </c>
      <c r="U34" s="29" t="s">
        <v>24</v>
      </c>
      <c r="V34" s="29" t="s">
        <v>24</v>
      </c>
      <c r="W34" s="29" t="s">
        <v>45</v>
      </c>
      <c r="X34" s="29" t="s">
        <v>45</v>
      </c>
      <c r="Y34" s="29" t="s">
        <v>12</v>
      </c>
      <c r="Z34" s="34" t="s">
        <v>81</v>
      </c>
    </row>
    <row r="35" spans="1:34" ht="17" thickBot="1" x14ac:dyDescent="0.25">
      <c r="A35" s="25"/>
      <c r="B35" s="25"/>
      <c r="C35" s="25"/>
      <c r="D35" s="25"/>
      <c r="F35" s="25"/>
      <c r="G35" s="25"/>
      <c r="H35" s="25"/>
      <c r="I35" s="25"/>
      <c r="J35" s="25"/>
      <c r="K35" s="25"/>
      <c r="L35" s="25"/>
      <c r="M35" s="25"/>
      <c r="N35" s="25"/>
      <c r="O35" s="25"/>
      <c r="P35" s="25"/>
      <c r="Q35" s="25"/>
      <c r="R35" s="35">
        <v>300</v>
      </c>
      <c r="S35" s="36">
        <v>2.5</v>
      </c>
      <c r="T35" s="36">
        <f>R35-S35*2</f>
        <v>295</v>
      </c>
      <c r="U35" s="107">
        <v>3</v>
      </c>
      <c r="V35" s="57">
        <v>2.2999999999999998</v>
      </c>
      <c r="W35" s="36">
        <v>100</v>
      </c>
      <c r="X35" s="36">
        <v>100</v>
      </c>
      <c r="Y35" s="36">
        <f>(U35+W35/1000)*(V35+X35/1000)</f>
        <v>7.4399999999999995</v>
      </c>
      <c r="Z35" s="37">
        <f>_xlfn.FLOOR.MATH(T35*3.1415*(T35/4/Y35-1/SQRT(2*Y35)),1)</f>
        <v>8946</v>
      </c>
    </row>
    <row r="36" spans="1:34" x14ac:dyDescent="0.2">
      <c r="A36" s="25"/>
      <c r="B36" s="25"/>
      <c r="C36" s="25"/>
      <c r="D36" s="25"/>
      <c r="F36" s="25"/>
      <c r="G36" s="25"/>
      <c r="H36" s="25"/>
      <c r="I36" s="25"/>
      <c r="J36" s="25"/>
      <c r="K36" s="25"/>
      <c r="L36" s="25"/>
      <c r="M36" s="25"/>
      <c r="N36" s="25"/>
      <c r="O36" s="25"/>
      <c r="P36" s="25"/>
      <c r="S36" s="24"/>
      <c r="T36" s="24"/>
      <c r="V36" s="24"/>
      <c r="W36" s="24"/>
      <c r="X36" s="24"/>
      <c r="Y36" s="24"/>
      <c r="Z36" s="24"/>
      <c r="AA36" s="24"/>
      <c r="AB36" s="24"/>
      <c r="AC36" s="24"/>
      <c r="AD36" s="24"/>
      <c r="AE36" s="24"/>
      <c r="AF36" s="24"/>
      <c r="AG36" s="24"/>
      <c r="AH36" s="24"/>
    </row>
    <row r="37" spans="1:34" x14ac:dyDescent="0.2">
      <c r="U37" s="25">
        <f>U35*V35</f>
        <v>6.8999999999999995</v>
      </c>
      <c r="V37" s="25">
        <v>243</v>
      </c>
    </row>
    <row r="38" spans="1:34" ht="17" thickBot="1" x14ac:dyDescent="0.25"/>
    <row r="39" spans="1:34" s="75" customFormat="1" ht="37" x14ac:dyDescent="0.2">
      <c r="R39" s="108" t="s">
        <v>139</v>
      </c>
      <c r="S39" s="109" t="s">
        <v>119</v>
      </c>
      <c r="T39" s="109" t="s">
        <v>140</v>
      </c>
      <c r="U39" s="109" t="s">
        <v>141</v>
      </c>
      <c r="V39" s="109" t="s">
        <v>142</v>
      </c>
      <c r="W39" s="109" t="s">
        <v>103</v>
      </c>
      <c r="X39" s="109" t="s">
        <v>108</v>
      </c>
      <c r="Y39" s="109" t="s">
        <v>102</v>
      </c>
      <c r="Z39" s="109" t="s">
        <v>104</v>
      </c>
      <c r="AA39" s="110" t="s">
        <v>105</v>
      </c>
      <c r="AC39" s="75" t="s">
        <v>126</v>
      </c>
      <c r="AD39" s="75" t="s">
        <v>143</v>
      </c>
      <c r="AE39" s="75" t="s">
        <v>152</v>
      </c>
    </row>
    <row r="40" spans="1:34" x14ac:dyDescent="0.2">
      <c r="A40" s="25"/>
      <c r="B40" s="25"/>
      <c r="C40" s="25"/>
      <c r="D40" s="25"/>
      <c r="F40" s="25"/>
      <c r="G40" s="25"/>
      <c r="H40" s="25"/>
      <c r="I40" s="25"/>
      <c r="J40" s="25"/>
      <c r="K40" s="25"/>
      <c r="L40" s="25"/>
      <c r="M40" s="25"/>
      <c r="N40" s="25"/>
      <c r="O40" s="25"/>
      <c r="P40" s="25"/>
      <c r="Q40" s="25"/>
      <c r="R40" s="209">
        <v>2</v>
      </c>
      <c r="S40" s="203">
        <v>600</v>
      </c>
      <c r="T40" s="203">
        <v>400</v>
      </c>
      <c r="U40" s="203">
        <v>300</v>
      </c>
      <c r="V40" s="203">
        <v>100</v>
      </c>
      <c r="W40" s="203">
        <v>138</v>
      </c>
      <c r="X40" s="203" t="s">
        <v>109</v>
      </c>
      <c r="Y40" s="111" t="s">
        <v>106</v>
      </c>
      <c r="Z40" s="112">
        <v>0.432</v>
      </c>
      <c r="AA40" s="113">
        <v>60</v>
      </c>
      <c r="AC40" s="24">
        <v>300</v>
      </c>
      <c r="AD40" s="121">
        <f>EXP(-$X$50*AC40)/$Y$50</f>
        <v>0.49232652404399763</v>
      </c>
      <c r="AE40" s="121">
        <f>EXP(-$X$51*$AC40)/$Y$51</f>
        <v>0.55663196660934999</v>
      </c>
    </row>
    <row r="41" spans="1:34" x14ac:dyDescent="0.2">
      <c r="A41" s="25"/>
      <c r="B41" s="25"/>
      <c r="C41" s="25"/>
      <c r="D41" s="25"/>
      <c r="F41" s="25"/>
      <c r="G41" s="25"/>
      <c r="H41" s="25"/>
      <c r="I41" s="25"/>
      <c r="J41" s="25"/>
      <c r="K41" s="25"/>
      <c r="L41" s="25"/>
      <c r="M41" s="25"/>
      <c r="N41" s="25"/>
      <c r="O41" s="25"/>
      <c r="P41" s="25"/>
      <c r="Q41" s="25"/>
      <c r="R41" s="209"/>
      <c r="S41" s="203"/>
      <c r="T41" s="203"/>
      <c r="U41" s="203"/>
      <c r="V41" s="203"/>
      <c r="W41" s="203"/>
      <c r="X41" s="203"/>
      <c r="Y41" s="111" t="s">
        <v>107</v>
      </c>
      <c r="Z41" s="112">
        <v>0.48299999999999998</v>
      </c>
      <c r="AA41" s="114">
        <v>67</v>
      </c>
      <c r="AC41" s="24">
        <v>400</v>
      </c>
      <c r="AD41" s="121">
        <f t="shared" ref="AD41:AD45" si="2">EXP(-$X$50*AC41)/$Y$50</f>
        <v>0.43228670403863206</v>
      </c>
      <c r="AE41" s="121">
        <f>EXP(-$X$51*$AC41)/$Y$51</f>
        <v>0.49966962891324052</v>
      </c>
    </row>
    <row r="42" spans="1:34" x14ac:dyDescent="0.2">
      <c r="A42" s="25"/>
      <c r="B42" s="25"/>
      <c r="C42" s="25"/>
      <c r="D42" s="25"/>
      <c r="F42" s="25"/>
      <c r="G42" s="25"/>
      <c r="H42" s="25"/>
      <c r="I42" s="25"/>
      <c r="J42" s="25"/>
      <c r="K42" s="25"/>
      <c r="L42" s="25"/>
      <c r="M42" s="25"/>
      <c r="N42" s="25"/>
      <c r="O42" s="25"/>
      <c r="P42" s="25"/>
      <c r="Q42" s="25"/>
      <c r="R42" s="209"/>
      <c r="S42" s="203"/>
      <c r="T42" s="203"/>
      <c r="U42" s="203"/>
      <c r="V42" s="203"/>
      <c r="W42" s="203"/>
      <c r="X42" s="203" t="s">
        <v>110</v>
      </c>
      <c r="Y42" s="111" t="s">
        <v>106</v>
      </c>
      <c r="Z42" s="112">
        <v>0.44700000000000001</v>
      </c>
      <c r="AA42" s="114">
        <v>62</v>
      </c>
      <c r="AC42" s="101">
        <v>366</v>
      </c>
      <c r="AD42" s="121">
        <f t="shared" si="2"/>
        <v>0.45183049501768785</v>
      </c>
      <c r="AE42" s="121">
        <f>EXP(-$X$51*$AC42)/$Y$51</f>
        <v>0.51835097253175855</v>
      </c>
    </row>
    <row r="43" spans="1:34" x14ac:dyDescent="0.2">
      <c r="A43" s="25"/>
      <c r="B43" s="25"/>
      <c r="C43" s="25"/>
      <c r="D43" s="25"/>
      <c r="F43" s="25"/>
      <c r="G43" s="25"/>
      <c r="H43" s="25"/>
      <c r="I43" s="25"/>
      <c r="J43" s="25"/>
      <c r="K43" s="25"/>
      <c r="L43" s="25"/>
      <c r="M43" s="25"/>
      <c r="N43" s="25"/>
      <c r="O43" s="25"/>
      <c r="P43" s="25"/>
      <c r="Q43" s="25"/>
      <c r="R43" s="209"/>
      <c r="S43" s="203"/>
      <c r="T43" s="203"/>
      <c r="U43" s="203"/>
      <c r="V43" s="203"/>
      <c r="W43" s="203"/>
      <c r="X43" s="203"/>
      <c r="Y43" s="111" t="s">
        <v>107</v>
      </c>
      <c r="Z43" s="112">
        <v>0.5</v>
      </c>
      <c r="AA43" s="113">
        <v>69</v>
      </c>
      <c r="AC43" s="101">
        <v>274</v>
      </c>
      <c r="AD43" s="121">
        <f t="shared" si="2"/>
        <v>0.50925861727376909</v>
      </c>
      <c r="AE43" s="121">
        <f>EXP(-$X$51*$AC43)/$Y$51</f>
        <v>0.5724773298670065</v>
      </c>
    </row>
    <row r="44" spans="1:34" x14ac:dyDescent="0.2">
      <c r="A44" s="25"/>
      <c r="B44" s="25"/>
      <c r="C44" s="25"/>
      <c r="D44" s="25"/>
      <c r="F44" s="25"/>
      <c r="G44" s="25"/>
      <c r="H44" s="25"/>
      <c r="I44" s="25"/>
      <c r="J44" s="25"/>
      <c r="K44" s="25"/>
      <c r="L44" s="25"/>
      <c r="M44" s="25"/>
      <c r="N44" s="25"/>
      <c r="O44" s="25"/>
      <c r="P44" s="25"/>
      <c r="Q44" s="25"/>
      <c r="R44" s="209">
        <f>S44/U44</f>
        <v>1.875</v>
      </c>
      <c r="S44" s="203">
        <v>300</v>
      </c>
      <c r="T44" s="203">
        <v>300</v>
      </c>
      <c r="U44" s="203">
        <v>160</v>
      </c>
      <c r="V44" s="203">
        <v>140</v>
      </c>
      <c r="W44" s="203">
        <v>188</v>
      </c>
      <c r="X44" s="203" t="s">
        <v>109</v>
      </c>
      <c r="Y44" s="111" t="s">
        <v>106</v>
      </c>
      <c r="Z44" s="112">
        <v>0.49199999999999999</v>
      </c>
      <c r="AA44" s="113">
        <v>92</v>
      </c>
      <c r="AC44" s="101">
        <v>443</v>
      </c>
      <c r="AD44" s="121">
        <f t="shared" si="2"/>
        <v>0.40877553439331132</v>
      </c>
      <c r="AE44" s="121">
        <f t="shared" ref="AE44" si="3">EXP(-$X$51*AC44)/$Y$51</f>
        <v>0.47700432933214404</v>
      </c>
    </row>
    <row r="45" spans="1:34" x14ac:dyDescent="0.2">
      <c r="A45" s="25"/>
      <c r="B45" s="25"/>
      <c r="C45" s="25"/>
      <c r="D45" s="25"/>
      <c r="F45" s="25"/>
      <c r="G45" s="25"/>
      <c r="H45" s="25"/>
      <c r="I45" s="25"/>
      <c r="J45" s="25"/>
      <c r="K45" s="25"/>
      <c r="L45" s="25"/>
      <c r="M45" s="25"/>
      <c r="N45" s="25"/>
      <c r="O45" s="25"/>
      <c r="P45" s="25"/>
      <c r="Q45" s="25"/>
      <c r="R45" s="209"/>
      <c r="S45" s="203"/>
      <c r="T45" s="203"/>
      <c r="U45" s="203"/>
      <c r="V45" s="203"/>
      <c r="W45" s="203"/>
      <c r="X45" s="203"/>
      <c r="Y45" s="111" t="s">
        <v>107</v>
      </c>
      <c r="Z45" s="112">
        <v>0.54100000000000004</v>
      </c>
      <c r="AA45" s="114">
        <v>102</v>
      </c>
      <c r="AC45" s="101">
        <v>342</v>
      </c>
      <c r="AD45" s="121">
        <f t="shared" si="2"/>
        <v>0.46615577027911198</v>
      </c>
      <c r="AE45" s="121">
        <f>EXP(-$X$51*$AC45)/$Y$51</f>
        <v>0.53195679835004561</v>
      </c>
    </row>
    <row r="46" spans="1:34" x14ac:dyDescent="0.2">
      <c r="A46" s="25"/>
      <c r="B46" s="25"/>
      <c r="C46" s="25"/>
      <c r="D46" s="25"/>
      <c r="F46" s="25"/>
      <c r="G46" s="25"/>
      <c r="H46" s="25"/>
      <c r="I46" s="25"/>
      <c r="J46" s="25"/>
      <c r="K46" s="25"/>
      <c r="L46" s="25"/>
      <c r="M46" s="25"/>
      <c r="N46" s="25"/>
      <c r="O46" s="25"/>
      <c r="P46" s="25"/>
      <c r="Q46" s="25"/>
      <c r="R46" s="209"/>
      <c r="S46" s="203"/>
      <c r="T46" s="203"/>
      <c r="U46" s="203"/>
      <c r="V46" s="203"/>
      <c r="W46" s="203"/>
      <c r="X46" s="203" t="s">
        <v>110</v>
      </c>
      <c r="Y46" s="111" t="s">
        <v>106</v>
      </c>
      <c r="Z46" s="112">
        <v>0.50700000000000001</v>
      </c>
      <c r="AA46" s="114">
        <v>95</v>
      </c>
    </row>
    <row r="47" spans="1:34" ht="17" thickBot="1" x14ac:dyDescent="0.25">
      <c r="A47" s="25"/>
      <c r="B47" s="25"/>
      <c r="C47" s="25"/>
      <c r="D47" s="25"/>
      <c r="F47" s="25"/>
      <c r="G47" s="25"/>
      <c r="H47" s="25"/>
      <c r="I47" s="25"/>
      <c r="J47" s="25"/>
      <c r="K47" s="25"/>
      <c r="L47" s="25"/>
      <c r="M47" s="25"/>
      <c r="N47" s="25"/>
      <c r="O47" s="25"/>
      <c r="P47" s="25"/>
      <c r="Q47" s="25"/>
      <c r="R47" s="210"/>
      <c r="S47" s="207"/>
      <c r="T47" s="207"/>
      <c r="U47" s="207"/>
      <c r="V47" s="207"/>
      <c r="W47" s="207"/>
      <c r="X47" s="207"/>
      <c r="Y47" s="115" t="s">
        <v>107</v>
      </c>
      <c r="Z47" s="116">
        <v>0.55700000000000005</v>
      </c>
      <c r="AA47" s="117">
        <v>105</v>
      </c>
      <c r="AC47" s="101">
        <v>445</v>
      </c>
      <c r="AD47" s="121">
        <f>EXP(-$X$50*AC47)/$Y$50</f>
        <v>0.40771366524604691</v>
      </c>
      <c r="AE47" s="121">
        <f>EXP(-$X$51*$AC47)/$Y$51</f>
        <v>0.47597551992744747</v>
      </c>
    </row>
    <row r="49" spans="19:31" x14ac:dyDescent="0.2">
      <c r="X49" s="25" t="s">
        <v>148</v>
      </c>
      <c r="Y49" s="25" t="s">
        <v>149</v>
      </c>
      <c r="AC49" s="101">
        <v>40</v>
      </c>
      <c r="AD49" s="121">
        <f>EXP(-$X$50*AC49)/$Y$50</f>
        <v>0.69040632188028461</v>
      </c>
      <c r="AE49" s="121">
        <f>EXP(-$X$51*$AC49)/$Y$51</f>
        <v>0.73700365191137673</v>
      </c>
    </row>
    <row r="50" spans="19:31" ht="18" x14ac:dyDescent="0.2">
      <c r="W50" s="25" t="s">
        <v>144</v>
      </c>
      <c r="X50" s="120">
        <v>1.3005312824819781E-3</v>
      </c>
      <c r="Y50" s="25">
        <v>1.375</v>
      </c>
    </row>
    <row r="51" spans="19:31" ht="18" x14ac:dyDescent="0.2">
      <c r="W51" s="25" t="s">
        <v>147</v>
      </c>
      <c r="X51" s="25">
        <v>1.0795714150509238E-3</v>
      </c>
      <c r="Y51" s="25">
        <v>1.2995000000000001</v>
      </c>
    </row>
    <row r="53" spans="19:31" x14ac:dyDescent="0.2">
      <c r="X53" s="25">
        <v>1.2995000000000001</v>
      </c>
    </row>
    <row r="54" spans="19:31" ht="18" x14ac:dyDescent="0.2">
      <c r="S54" s="25">
        <f>LN(Z43)</f>
        <v>-0.69314718055994529</v>
      </c>
      <c r="T54" s="25">
        <v>400</v>
      </c>
      <c r="W54" s="25" t="s">
        <v>147</v>
      </c>
      <c r="X54" s="118">
        <f>T56</f>
        <v>1.0795714150509238E-3</v>
      </c>
      <c r="AA54" s="25" t="s">
        <v>150</v>
      </c>
      <c r="AB54" s="25" t="s">
        <v>151</v>
      </c>
      <c r="AD54" s="118">
        <f>X54*100</f>
        <v>0.10795714150509239</v>
      </c>
    </row>
    <row r="55" spans="19:31" x14ac:dyDescent="0.2">
      <c r="S55" s="25">
        <f>LN(Z47)</f>
        <v>-0.5851900390548529</v>
      </c>
      <c r="T55" s="25">
        <v>300</v>
      </c>
      <c r="W55" s="25" t="s">
        <v>145</v>
      </c>
      <c r="X55" s="25">
        <v>35</v>
      </c>
      <c r="Z55" s="25">
        <v>400</v>
      </c>
      <c r="AA55" s="25">
        <v>43.2</v>
      </c>
      <c r="AB55" s="25">
        <v>50</v>
      </c>
    </row>
    <row r="56" spans="19:31" x14ac:dyDescent="0.2">
      <c r="T56" s="25">
        <f>(S55-S54)/100</f>
        <v>1.0795714150509238E-3</v>
      </c>
      <c r="W56" s="25" t="s">
        <v>146</v>
      </c>
      <c r="X56" s="119">
        <f>EXP(-$X$51*$X55)/$Y$51</f>
        <v>0.7409926486198225</v>
      </c>
      <c r="Z56" s="25">
        <v>300</v>
      </c>
      <c r="AA56" s="25">
        <v>49.2</v>
      </c>
      <c r="AB56" s="25">
        <v>55.7</v>
      </c>
    </row>
  </sheetData>
  <mergeCells count="38">
    <mergeCell ref="W44:W47"/>
    <mergeCell ref="X44:X45"/>
    <mergeCell ref="X46:X47"/>
    <mergeCell ref="R44:R47"/>
    <mergeCell ref="S44:S47"/>
    <mergeCell ref="T44:T47"/>
    <mergeCell ref="U44:U47"/>
    <mergeCell ref="V44:V47"/>
    <mergeCell ref="Z29:Z30"/>
    <mergeCell ref="R40:R43"/>
    <mergeCell ref="S40:S43"/>
    <mergeCell ref="T40:T43"/>
    <mergeCell ref="U40:U43"/>
    <mergeCell ref="V40:V43"/>
    <mergeCell ref="W40:W43"/>
    <mergeCell ref="X40:X41"/>
    <mergeCell ref="X42:X43"/>
    <mergeCell ref="I10:L10"/>
    <mergeCell ref="H17:L17"/>
    <mergeCell ref="N17:P17"/>
    <mergeCell ref="A1:D1"/>
    <mergeCell ref="N10:P10"/>
    <mergeCell ref="AQ23:AW23"/>
    <mergeCell ref="AQ25:AQ26"/>
    <mergeCell ref="AQ27:AQ28"/>
    <mergeCell ref="AQ29:AQ30"/>
    <mergeCell ref="R10:T10"/>
    <mergeCell ref="AI23:AO23"/>
    <mergeCell ref="AI25:AI26"/>
    <mergeCell ref="AI27:AI28"/>
    <mergeCell ref="AI29:AI30"/>
    <mergeCell ref="R23:X23"/>
    <mergeCell ref="Z23:AF23"/>
    <mergeCell ref="R25:R26"/>
    <mergeCell ref="Z25:Z26"/>
    <mergeCell ref="R27:R28"/>
    <mergeCell ref="Z27:Z28"/>
    <mergeCell ref="R29:R3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CD18-E7D7-7945-A4DB-DF1AF4B7D0A2}">
  <dimension ref="A1:A15"/>
  <sheetViews>
    <sheetView topLeftCell="A6" workbookViewId="0">
      <selection activeCell="A29" sqref="A29"/>
    </sheetView>
  </sheetViews>
  <sheetFormatPr baseColWidth="10" defaultRowHeight="16" x14ac:dyDescent="0.2"/>
  <cols>
    <col min="1" max="1" width="160.6640625" customWidth="1"/>
  </cols>
  <sheetData>
    <row r="1" spans="1:1" ht="238" x14ac:dyDescent="0.2">
      <c r="A1" s="20" t="s">
        <v>91</v>
      </c>
    </row>
    <row r="3" spans="1:1" ht="404" x14ac:dyDescent="0.2">
      <c r="A3" s="20" t="s">
        <v>92</v>
      </c>
    </row>
    <row r="5" spans="1:1" ht="272" x14ac:dyDescent="0.2">
      <c r="A5" s="20" t="s">
        <v>93</v>
      </c>
    </row>
    <row r="6" spans="1:1" x14ac:dyDescent="0.2">
      <c r="A6" s="20"/>
    </row>
    <row r="15" spans="1:1" ht="409.6" x14ac:dyDescent="0.2">
      <c r="A15" s="20" t="s">
        <v>196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C7786-B746-5844-8F7F-09DF98ADF0BB}">
  <dimension ref="A1:AW54"/>
  <sheetViews>
    <sheetView topLeftCell="R39" workbookViewId="0">
      <selection activeCell="T20" sqref="T20"/>
    </sheetView>
  </sheetViews>
  <sheetFormatPr baseColWidth="10" defaultRowHeight="16" x14ac:dyDescent="0.2"/>
  <cols>
    <col min="1" max="2" width="10.83203125" style="24"/>
    <col min="3" max="3" width="11.6640625" style="24" bestFit="1" customWidth="1"/>
    <col min="4" max="4" width="10.83203125" style="24"/>
    <col min="5" max="5" width="10.83203125" style="25"/>
    <col min="6" max="6" width="13" style="24" bestFit="1" customWidth="1"/>
    <col min="7" max="7" width="7.1640625" style="24" customWidth="1"/>
    <col min="8" max="11" width="10.83203125" style="24"/>
    <col min="12" max="12" width="9.83203125" style="24" customWidth="1"/>
    <col min="13" max="13" width="0.83203125" style="24" customWidth="1"/>
    <col min="14" max="16" width="10.83203125" style="24"/>
    <col min="17" max="17" width="0.83203125" style="24" customWidth="1"/>
    <col min="18" max="18" width="14" style="24" bestFit="1" customWidth="1"/>
    <col min="19" max="19" width="12.5" style="25" bestFit="1" customWidth="1"/>
    <col min="20" max="20" width="14.5" style="25" bestFit="1" customWidth="1"/>
    <col min="21" max="23" width="10.83203125" style="25"/>
    <col min="24" max="24" width="12.6640625" style="25" bestFit="1" customWidth="1"/>
    <col min="25" max="25" width="10.83203125" style="25"/>
    <col min="26" max="26" width="13.33203125" style="25" bestFit="1" customWidth="1"/>
    <col min="27" max="27" width="10.83203125" style="25"/>
    <col min="28" max="28" width="13.5" style="25" bestFit="1" customWidth="1"/>
    <col min="29" max="36" width="10.83203125" style="25"/>
    <col min="37" max="37" width="13.5" style="25" bestFit="1" customWidth="1"/>
    <col min="38" max="42" width="10.83203125" style="25"/>
    <col min="43" max="43" width="11.6640625" style="25" bestFit="1" customWidth="1"/>
    <col min="44" max="44" width="10.83203125" style="25"/>
    <col min="45" max="45" width="13.5" style="25" bestFit="1" customWidth="1"/>
    <col min="46" max="16384" width="10.83203125" style="25"/>
  </cols>
  <sheetData>
    <row r="1" spans="1:34" ht="17" thickBot="1" x14ac:dyDescent="0.25">
      <c r="A1" s="206" t="s">
        <v>154</v>
      </c>
      <c r="B1" s="206"/>
      <c r="C1" s="206"/>
      <c r="D1" s="206"/>
    </row>
    <row r="2" spans="1:34" ht="54" x14ac:dyDescent="0.2">
      <c r="A2" s="30"/>
      <c r="B2" s="93" t="s">
        <v>127</v>
      </c>
      <c r="C2" s="93" t="s">
        <v>130</v>
      </c>
      <c r="D2" s="95" t="s">
        <v>128</v>
      </c>
      <c r="H2" s="24" t="s">
        <v>225</v>
      </c>
      <c r="Y2" s="165"/>
      <c r="Z2" s="165"/>
      <c r="AA2" s="165"/>
      <c r="AB2" s="165"/>
      <c r="AC2" s="165"/>
      <c r="AD2" s="165"/>
      <c r="AE2" s="165"/>
      <c r="AF2" s="165"/>
      <c r="AG2" s="165"/>
      <c r="AH2" s="165"/>
    </row>
    <row r="3" spans="1:34" x14ac:dyDescent="0.2">
      <c r="A3" s="33" t="s">
        <v>94</v>
      </c>
      <c r="B3" s="29">
        <v>5.41</v>
      </c>
      <c r="C3" s="29" t="s">
        <v>131</v>
      </c>
      <c r="D3" s="34">
        <v>3.7</v>
      </c>
      <c r="Y3" s="165"/>
      <c r="Z3" s="165"/>
      <c r="AA3" s="165"/>
      <c r="AB3" s="165"/>
      <c r="AC3" s="165"/>
      <c r="AD3" s="165"/>
      <c r="AE3" s="165"/>
      <c r="AF3" s="165"/>
      <c r="AG3" s="165"/>
      <c r="AH3" s="165"/>
    </row>
    <row r="4" spans="1:34" x14ac:dyDescent="0.2">
      <c r="A4" s="33" t="s">
        <v>5</v>
      </c>
      <c r="B4" s="29">
        <v>5.41</v>
      </c>
      <c r="C4" s="29" t="s">
        <v>132</v>
      </c>
      <c r="D4" s="34">
        <v>7.4</v>
      </c>
      <c r="Y4" s="165"/>
      <c r="Z4" s="165"/>
      <c r="AA4" s="165"/>
      <c r="AB4" s="165"/>
      <c r="AC4" s="165"/>
      <c r="AD4" s="165"/>
      <c r="AE4" s="165"/>
      <c r="AF4" s="165"/>
      <c r="AG4" s="165"/>
      <c r="AH4" s="165"/>
    </row>
    <row r="5" spans="1:34" ht="17" thickBot="1" x14ac:dyDescent="0.25">
      <c r="A5" s="35" t="s">
        <v>65</v>
      </c>
      <c r="B5" s="36">
        <v>24.06</v>
      </c>
      <c r="C5" s="36" t="s">
        <v>133</v>
      </c>
      <c r="D5" s="37">
        <v>2.1</v>
      </c>
      <c r="Y5" s="165"/>
      <c r="Z5" s="165"/>
      <c r="AA5" s="165"/>
      <c r="AB5" s="165"/>
      <c r="AC5" s="165"/>
      <c r="AD5" s="165"/>
      <c r="AE5" s="165"/>
      <c r="AF5" s="165"/>
      <c r="AG5" s="165"/>
      <c r="AH5" s="165"/>
    </row>
    <row r="6" spans="1:34" x14ac:dyDescent="0.2">
      <c r="Y6" s="165"/>
      <c r="Z6" s="165"/>
      <c r="AA6" s="165"/>
      <c r="AB6" s="165"/>
      <c r="AC6" s="165"/>
      <c r="AD6" s="165"/>
      <c r="AE6" s="165"/>
      <c r="AF6" s="165"/>
      <c r="AG6" s="165"/>
      <c r="AH6" s="165"/>
    </row>
    <row r="7" spans="1:34" x14ac:dyDescent="0.2">
      <c r="Y7" s="165"/>
      <c r="Z7" s="165"/>
      <c r="AA7" s="165"/>
      <c r="AB7" s="165"/>
      <c r="AC7" s="165"/>
      <c r="AD7" s="165"/>
      <c r="AE7" s="165"/>
      <c r="AF7" s="165"/>
      <c r="AG7" s="165"/>
      <c r="AH7" s="165"/>
    </row>
    <row r="8" spans="1:34" x14ac:dyDescent="0.2">
      <c r="V8"/>
      <c r="Y8" s="165"/>
      <c r="Z8" s="165"/>
      <c r="AA8" s="165"/>
      <c r="AB8" s="165"/>
      <c r="AC8" s="165"/>
      <c r="AD8" s="165"/>
      <c r="AE8" s="165"/>
      <c r="AF8" s="165"/>
      <c r="AG8" s="165"/>
      <c r="AH8" s="165"/>
    </row>
    <row r="9" spans="1:34" ht="17" thickBot="1" x14ac:dyDescent="0.25">
      <c r="Y9" s="165"/>
      <c r="Z9" s="165"/>
      <c r="AA9" s="165"/>
      <c r="AB9" s="165"/>
      <c r="AC9" s="165"/>
      <c r="AD9" s="165"/>
      <c r="AE9" s="165"/>
      <c r="AF9" s="165"/>
      <c r="AG9" s="165"/>
      <c r="AH9" s="165"/>
    </row>
    <row r="10" spans="1:34" ht="17" thickBot="1" x14ac:dyDescent="0.25">
      <c r="H10" s="146"/>
      <c r="I10" s="200" t="s">
        <v>155</v>
      </c>
      <c r="J10" s="201"/>
      <c r="K10" s="201"/>
      <c r="L10" s="202"/>
      <c r="M10" s="151"/>
      <c r="N10" s="200" t="s">
        <v>156</v>
      </c>
      <c r="O10" s="201"/>
      <c r="P10" s="202"/>
      <c r="Q10" s="148"/>
      <c r="R10" s="200" t="s">
        <v>178</v>
      </c>
      <c r="S10" s="201"/>
      <c r="T10" s="202"/>
      <c r="Y10" s="165"/>
      <c r="Z10" s="165"/>
      <c r="AA10" s="165"/>
      <c r="AB10" s="165"/>
      <c r="AC10" s="165"/>
      <c r="AD10" s="165"/>
      <c r="AE10" s="165"/>
      <c r="AF10" s="165"/>
      <c r="AG10" s="165"/>
      <c r="AH10" s="165"/>
    </row>
    <row r="11" spans="1:34" ht="37" x14ac:dyDescent="0.2">
      <c r="F11" s="96" t="s">
        <v>121</v>
      </c>
      <c r="G11" s="93" t="s">
        <v>122</v>
      </c>
      <c r="H11" s="93" t="s">
        <v>135</v>
      </c>
      <c r="I11" s="93" t="s">
        <v>134</v>
      </c>
      <c r="J11" s="93" t="s">
        <v>172</v>
      </c>
      <c r="K11" s="93" t="s">
        <v>176</v>
      </c>
      <c r="L11" s="93" t="s">
        <v>173</v>
      </c>
      <c r="M11" s="150"/>
      <c r="N11" s="93" t="s">
        <v>175</v>
      </c>
      <c r="O11" s="93" t="s">
        <v>174</v>
      </c>
      <c r="P11" s="95" t="s">
        <v>173</v>
      </c>
      <c r="Q11" s="148"/>
      <c r="R11" s="93" t="s">
        <v>179</v>
      </c>
      <c r="S11" s="93" t="s">
        <v>174</v>
      </c>
      <c r="T11" s="95" t="s">
        <v>173</v>
      </c>
      <c r="Y11" s="165"/>
      <c r="Z11" s="165"/>
      <c r="AA11" s="165"/>
      <c r="AB11" s="165"/>
      <c r="AC11" s="165"/>
      <c r="AD11" s="165"/>
      <c r="AE11" s="165"/>
      <c r="AF11" s="165"/>
      <c r="AG11" s="165"/>
      <c r="AH11" s="165"/>
    </row>
    <row r="12" spans="1:34" x14ac:dyDescent="0.2">
      <c r="F12" s="97" t="s">
        <v>124</v>
      </c>
      <c r="G12" s="29">
        <v>448</v>
      </c>
      <c r="H12" s="29">
        <v>512</v>
      </c>
      <c r="I12" s="29" t="s">
        <v>129</v>
      </c>
      <c r="J12" s="29">
        <v>366</v>
      </c>
      <c r="K12" s="91">
        <f>J12*63%</f>
        <v>230.58</v>
      </c>
      <c r="L12" s="91">
        <f>J12-K12</f>
        <v>135.41999999999999</v>
      </c>
      <c r="M12" s="149"/>
      <c r="N12" s="91">
        <f>O12+P12</f>
        <v>274.25932430827692</v>
      </c>
      <c r="O12" s="91">
        <f>H12/$D$5</f>
        <v>243.8095238095238</v>
      </c>
      <c r="P12" s="92">
        <f>L12*$B$3/$B$5</f>
        <v>30.449800498753113</v>
      </c>
      <c r="Q12" s="148"/>
      <c r="R12" s="91">
        <f>S12+T12</f>
        <v>219.09074592801971</v>
      </c>
      <c r="S12" s="91">
        <f>H12/$D$5*212/274</f>
        <v>188.64094542926659</v>
      </c>
      <c r="T12" s="92">
        <f>L12*$B$3/$B$5</f>
        <v>30.449800498753113</v>
      </c>
      <c r="Y12" s="165"/>
      <c r="Z12" s="165"/>
      <c r="AA12" s="165"/>
      <c r="AB12" s="165"/>
      <c r="AC12" s="165"/>
      <c r="AD12" s="165"/>
      <c r="AE12" s="165"/>
      <c r="AF12" s="165"/>
      <c r="AG12" s="165"/>
      <c r="AH12" s="165"/>
    </row>
    <row r="13" spans="1:34" x14ac:dyDescent="0.2">
      <c r="F13" s="97" t="s">
        <v>169</v>
      </c>
      <c r="G13" s="29">
        <v>640</v>
      </c>
      <c r="H13" s="29">
        <v>640</v>
      </c>
      <c r="I13" s="29" t="s">
        <v>129</v>
      </c>
      <c r="J13" s="29">
        <v>443</v>
      </c>
      <c r="K13" s="91">
        <f>J13*63%</f>
        <v>279.08999999999997</v>
      </c>
      <c r="L13" s="91">
        <f>J13-K13</f>
        <v>163.91000000000003</v>
      </c>
      <c r="M13" s="90"/>
      <c r="N13" s="91">
        <f>O13+P13</f>
        <v>341.6178108300677</v>
      </c>
      <c r="O13" s="91">
        <f>H13/$D$5</f>
        <v>304.76190476190476</v>
      </c>
      <c r="P13" s="92">
        <f>L13*$B$3/$B$5</f>
        <v>36.85590606816293</v>
      </c>
      <c r="Q13" s="148"/>
      <c r="R13" s="91">
        <f>S13+T13</f>
        <v>272.65708785474618</v>
      </c>
      <c r="S13" s="91">
        <f>H13/$D$5*212/274</f>
        <v>235.80118178658324</v>
      </c>
      <c r="T13" s="92">
        <f>L13*$B$3/$B$5</f>
        <v>36.85590606816293</v>
      </c>
      <c r="Y13" s="165"/>
      <c r="Z13" s="165"/>
      <c r="AA13" s="165"/>
      <c r="AB13" s="165"/>
      <c r="AC13" s="165"/>
      <c r="AD13" s="165"/>
      <c r="AE13" s="165"/>
      <c r="AF13" s="165"/>
      <c r="AG13" s="165"/>
      <c r="AH13" s="165"/>
    </row>
    <row r="14" spans="1:34" ht="17" thickBot="1" x14ac:dyDescent="0.25">
      <c r="F14" s="140" t="s">
        <v>123</v>
      </c>
      <c r="G14" s="36" t="s">
        <v>170</v>
      </c>
      <c r="H14" s="36">
        <v>870</v>
      </c>
      <c r="I14" s="36" t="s">
        <v>171</v>
      </c>
      <c r="J14" s="36">
        <v>366</v>
      </c>
      <c r="K14" s="91">
        <f>J14*63%</f>
        <v>230.58</v>
      </c>
      <c r="L14" s="91">
        <f>J14-K14</f>
        <v>135.41999999999999</v>
      </c>
      <c r="M14" s="141"/>
      <c r="N14" s="91">
        <f>O14+P14</f>
        <v>444.7355147844674</v>
      </c>
      <c r="O14" s="91">
        <f>H14/$D$5</f>
        <v>414.28571428571428</v>
      </c>
      <c r="P14" s="92">
        <f>L14*$B$3/$B$5</f>
        <v>30.449800498753113</v>
      </c>
      <c r="Q14" s="148"/>
      <c r="R14" s="91">
        <f>S14+T14</f>
        <v>350.99203198988971</v>
      </c>
      <c r="S14" s="91">
        <f>H14/$D$5*212/274</f>
        <v>320.54223149113659</v>
      </c>
      <c r="T14" s="92">
        <f>L14*$B$3/$B$5</f>
        <v>30.449800498753113</v>
      </c>
      <c r="Y14" s="165"/>
      <c r="Z14" s="165"/>
      <c r="AA14" s="165"/>
      <c r="AB14" s="165"/>
      <c r="AC14" s="165"/>
      <c r="AD14" s="165"/>
      <c r="AE14" s="165"/>
      <c r="AF14" s="165"/>
      <c r="AG14" s="165"/>
      <c r="AH14" s="165"/>
    </row>
    <row r="17" spans="6:49" ht="17" thickBot="1" x14ac:dyDescent="0.25">
      <c r="H17" s="204"/>
      <c r="I17" s="204"/>
      <c r="J17" s="204"/>
      <c r="K17" s="204"/>
      <c r="L17" s="204"/>
      <c r="N17" s="204"/>
      <c r="O17" s="204"/>
      <c r="P17" s="204"/>
    </row>
    <row r="18" spans="6:49" ht="34" x14ac:dyDescent="0.2">
      <c r="F18" s="142"/>
      <c r="G18" s="75"/>
      <c r="H18" s="75"/>
      <c r="I18" s="75"/>
      <c r="J18" s="75"/>
      <c r="K18" s="75"/>
      <c r="L18" s="75"/>
      <c r="M18" s="75"/>
      <c r="N18" s="75"/>
      <c r="O18" s="75"/>
      <c r="P18" s="75"/>
      <c r="S18" s="24">
        <v>2023</v>
      </c>
      <c r="T18" s="25">
        <v>2024</v>
      </c>
      <c r="U18" s="25">
        <v>2025</v>
      </c>
      <c r="V18" s="25">
        <v>2026</v>
      </c>
      <c r="Y18" s="131" t="s">
        <v>167</v>
      </c>
      <c r="Z18" s="132" t="s">
        <v>166</v>
      </c>
      <c r="AA18" s="133" t="s">
        <v>79</v>
      </c>
      <c r="AB18" s="133" t="s">
        <v>165</v>
      </c>
      <c r="AC18" s="134" t="s">
        <v>146</v>
      </c>
    </row>
    <row r="19" spans="6:49" x14ac:dyDescent="0.2">
      <c r="F19" s="144"/>
      <c r="K19" s="145"/>
      <c r="L19" s="145"/>
      <c r="N19" s="145"/>
      <c r="O19" s="145"/>
      <c r="P19" s="145"/>
      <c r="R19" s="24" t="s">
        <v>161</v>
      </c>
      <c r="S19" s="166">
        <v>16628</v>
      </c>
      <c r="T19" s="166">
        <v>13543</v>
      </c>
      <c r="U19" s="166">
        <v>6288</v>
      </c>
      <c r="V19" s="166">
        <v>5695</v>
      </c>
      <c r="Y19" s="135" t="s">
        <v>136</v>
      </c>
      <c r="Z19" s="1" t="s">
        <v>163</v>
      </c>
      <c r="AA19" s="130">
        <v>366</v>
      </c>
      <c r="AB19" s="130">
        <v>119</v>
      </c>
      <c r="AC19" s="136">
        <v>0.99099999999999999</v>
      </c>
    </row>
    <row r="20" spans="6:49" x14ac:dyDescent="0.2">
      <c r="R20" s="24" t="s">
        <v>5</v>
      </c>
      <c r="S20" s="166">
        <f>S19*1.25</f>
        <v>20785</v>
      </c>
      <c r="T20" s="166">
        <f>T19*1.25</f>
        <v>16928.75</v>
      </c>
      <c r="U20" s="166">
        <f>U19*1.25</f>
        <v>7860</v>
      </c>
      <c r="V20" s="166">
        <f>V19*1.25</f>
        <v>7118.75</v>
      </c>
      <c r="Y20" s="135" t="s">
        <v>168</v>
      </c>
      <c r="Z20" s="1" t="s">
        <v>164</v>
      </c>
      <c r="AA20" s="130">
        <v>443</v>
      </c>
      <c r="AB20" s="130">
        <v>90</v>
      </c>
      <c r="AC20" s="136">
        <v>0.99099999999999999</v>
      </c>
    </row>
    <row r="21" spans="6:49" ht="17" thickBot="1" x14ac:dyDescent="0.25">
      <c r="R21" s="24" t="s">
        <v>125</v>
      </c>
      <c r="S21" s="166">
        <v>10526</v>
      </c>
      <c r="T21" s="166">
        <v>10526</v>
      </c>
      <c r="U21" s="166">
        <v>10526</v>
      </c>
      <c r="V21" s="166">
        <v>10526</v>
      </c>
      <c r="Y21" s="137"/>
      <c r="Z21" s="138" t="s">
        <v>162</v>
      </c>
      <c r="AA21" s="138">
        <v>356</v>
      </c>
      <c r="AB21" s="138">
        <v>122</v>
      </c>
      <c r="AC21" s="139">
        <v>0.99099999999999999</v>
      </c>
    </row>
    <row r="23" spans="6:49" ht="17" thickBot="1" x14ac:dyDescent="0.25">
      <c r="R23" s="206" t="s">
        <v>216</v>
      </c>
      <c r="S23" s="206"/>
      <c r="T23" s="206"/>
      <c r="U23" s="206"/>
      <c r="V23" s="206"/>
      <c r="W23" s="206"/>
      <c r="X23" s="206"/>
      <c r="Z23" s="206" t="s">
        <v>177</v>
      </c>
      <c r="AA23" s="206"/>
      <c r="AB23" s="206"/>
      <c r="AC23" s="206"/>
      <c r="AD23" s="206"/>
      <c r="AE23" s="206"/>
      <c r="AF23" s="206"/>
      <c r="AI23" s="206" t="s">
        <v>180</v>
      </c>
      <c r="AJ23" s="206"/>
      <c r="AK23" s="206"/>
      <c r="AL23" s="206"/>
      <c r="AM23" s="206"/>
      <c r="AN23" s="206"/>
      <c r="AO23" s="206"/>
      <c r="AQ23" s="206" t="s">
        <v>177</v>
      </c>
      <c r="AR23" s="206"/>
      <c r="AS23" s="206"/>
      <c r="AT23" s="206"/>
      <c r="AU23" s="206"/>
      <c r="AV23" s="206"/>
      <c r="AW23" s="206"/>
    </row>
    <row r="24" spans="6:49" s="25" customFormat="1" ht="20" x14ac:dyDescent="0.2">
      <c r="R24" s="122" t="s">
        <v>159</v>
      </c>
      <c r="S24" s="98" t="s">
        <v>2</v>
      </c>
      <c r="T24" s="129" t="s">
        <v>160</v>
      </c>
      <c r="U24" s="98" t="s">
        <v>157</v>
      </c>
      <c r="V24" s="98" t="s">
        <v>85</v>
      </c>
      <c r="W24" s="99" t="s">
        <v>114</v>
      </c>
      <c r="X24" s="100" t="s">
        <v>158</v>
      </c>
      <c r="Z24" s="122" t="s">
        <v>159</v>
      </c>
      <c r="AA24" s="98" t="s">
        <v>2</v>
      </c>
      <c r="AB24" s="129" t="s">
        <v>160</v>
      </c>
      <c r="AC24" s="98" t="s">
        <v>157</v>
      </c>
      <c r="AD24" s="98" t="s">
        <v>85</v>
      </c>
      <c r="AE24" s="99" t="s">
        <v>114</v>
      </c>
      <c r="AF24" s="100" t="s">
        <v>158</v>
      </c>
      <c r="AI24" s="122" t="s">
        <v>159</v>
      </c>
      <c r="AJ24" s="98" t="s">
        <v>2</v>
      </c>
      <c r="AK24" s="129" t="s">
        <v>160</v>
      </c>
      <c r="AL24" s="98" t="s">
        <v>157</v>
      </c>
      <c r="AM24" s="98" t="s">
        <v>85</v>
      </c>
      <c r="AN24" s="99" t="s">
        <v>114</v>
      </c>
      <c r="AO24" s="100" t="s">
        <v>158</v>
      </c>
      <c r="AQ24" s="122" t="s">
        <v>159</v>
      </c>
      <c r="AR24" s="98" t="s">
        <v>2</v>
      </c>
      <c r="AS24" s="129" t="s">
        <v>160</v>
      </c>
      <c r="AT24" s="98" t="s">
        <v>157</v>
      </c>
      <c r="AU24" s="98" t="s">
        <v>85</v>
      </c>
      <c r="AV24" s="99" t="s">
        <v>114</v>
      </c>
      <c r="AW24" s="100" t="s">
        <v>158</v>
      </c>
    </row>
    <row r="25" spans="6:49" s="25" customFormat="1" ht="17" x14ac:dyDescent="0.2">
      <c r="R25" s="205" t="s">
        <v>137</v>
      </c>
      <c r="S25" s="125" t="s">
        <v>161</v>
      </c>
      <c r="T25" s="125">
        <v>366</v>
      </c>
      <c r="U25" s="125">
        <v>150</v>
      </c>
      <c r="V25" s="126">
        <v>0.78</v>
      </c>
      <c r="W25" s="127">
        <v>115</v>
      </c>
      <c r="X25" s="128">
        <f>8000/W25</f>
        <v>69.565217391304344</v>
      </c>
      <c r="Z25" s="205" t="s">
        <v>137</v>
      </c>
      <c r="AA25" s="125" t="s">
        <v>161</v>
      </c>
      <c r="AB25" s="125">
        <v>366</v>
      </c>
      <c r="AC25" s="125">
        <v>150</v>
      </c>
      <c r="AD25" s="126">
        <v>0.78</v>
      </c>
      <c r="AE25" s="127">
        <f>_xlfn.FLOOR.MATH(AC25*AD25,1)+1</f>
        <v>118</v>
      </c>
      <c r="AF25" s="128">
        <f>8000/AE25</f>
        <v>67.79661016949153</v>
      </c>
      <c r="AI25" s="205" t="s">
        <v>137</v>
      </c>
      <c r="AJ25" s="125" t="s">
        <v>161</v>
      </c>
      <c r="AK25" s="125">
        <v>366</v>
      </c>
      <c r="AL25" s="125">
        <v>150</v>
      </c>
      <c r="AM25" s="126">
        <v>0.78</v>
      </c>
      <c r="AN25" s="127">
        <f>_xlfn.FLOOR.MATH(AL25*AM25,1)+1</f>
        <v>118</v>
      </c>
      <c r="AO25" s="128">
        <f>8000/AN25</f>
        <v>67.79661016949153</v>
      </c>
      <c r="AQ25" s="205" t="s">
        <v>137</v>
      </c>
      <c r="AR25" s="125" t="s">
        <v>161</v>
      </c>
      <c r="AS25" s="125">
        <v>366</v>
      </c>
      <c r="AT25" s="125">
        <v>150</v>
      </c>
      <c r="AU25" s="126">
        <v>0.78</v>
      </c>
      <c r="AV25" s="127">
        <f>_xlfn.FLOOR.MATH(AT25*AU25,1)+1</f>
        <v>118</v>
      </c>
      <c r="AW25" s="128">
        <f>8000/AV25</f>
        <v>67.79661016949153</v>
      </c>
    </row>
    <row r="26" spans="6:49" s="25" customFormat="1" ht="17" customHeight="1" x14ac:dyDescent="0.2">
      <c r="R26" s="205"/>
      <c r="S26" s="101" t="s">
        <v>125</v>
      </c>
      <c r="T26" s="101">
        <v>274</v>
      </c>
      <c r="U26" s="101">
        <v>207</v>
      </c>
      <c r="V26" s="102">
        <v>0.60199999999999998</v>
      </c>
      <c r="W26" s="103">
        <f>_xlfn.FLOOR.MATH(U26*V26,1)</f>
        <v>124</v>
      </c>
      <c r="X26" s="104">
        <f>12000/W26</f>
        <v>96.774193548387103</v>
      </c>
      <c r="Z26" s="205"/>
      <c r="AA26" s="101" t="s">
        <v>125</v>
      </c>
      <c r="AB26" s="101">
        <v>274</v>
      </c>
      <c r="AC26" s="101">
        <v>207</v>
      </c>
      <c r="AD26" s="102">
        <v>0.64600000000000002</v>
      </c>
      <c r="AE26" s="103">
        <f>_xlfn.FLOOR.MATH(AC26*AD26,1)</f>
        <v>133</v>
      </c>
      <c r="AF26" s="104">
        <f t="shared" ref="AF26:AF28" si="0">8000/AE26</f>
        <v>60.150375939849624</v>
      </c>
      <c r="AI26" s="205"/>
      <c r="AJ26" s="101" t="s">
        <v>125</v>
      </c>
      <c r="AK26" s="101">
        <v>274</v>
      </c>
      <c r="AL26" s="101">
        <v>207</v>
      </c>
      <c r="AM26" s="102">
        <v>0.79700000000000004</v>
      </c>
      <c r="AN26" s="103">
        <f>_xlfn.FLOOR.MATH(AL26*AM26,1)</f>
        <v>164</v>
      </c>
      <c r="AO26" s="104">
        <f>12000/AN26</f>
        <v>73.170731707317074</v>
      </c>
      <c r="AQ26" s="205"/>
      <c r="AR26" s="101" t="s">
        <v>125</v>
      </c>
      <c r="AS26" s="101">
        <v>274</v>
      </c>
      <c r="AT26" s="101">
        <v>207</v>
      </c>
      <c r="AU26" s="102">
        <v>0.82499999999999996</v>
      </c>
      <c r="AV26" s="103">
        <f>_xlfn.FLOOR.MATH(AT26*AU26,1)</f>
        <v>170</v>
      </c>
      <c r="AW26" s="104">
        <f>10000/AV26</f>
        <v>58.823529411764703</v>
      </c>
    </row>
    <row r="27" spans="6:49" s="25" customFormat="1" ht="17" x14ac:dyDescent="0.2">
      <c r="R27" s="205" t="s">
        <v>138</v>
      </c>
      <c r="S27" s="125" t="s">
        <v>161</v>
      </c>
      <c r="T27" s="125">
        <v>443</v>
      </c>
      <c r="U27" s="125">
        <v>121</v>
      </c>
      <c r="V27" s="126">
        <v>0.75</v>
      </c>
      <c r="W27" s="127">
        <f>_xlfn.FLOOR.MATH(U27*V27,1)</f>
        <v>90</v>
      </c>
      <c r="X27" s="128">
        <f>8000/W27</f>
        <v>88.888888888888886</v>
      </c>
      <c r="Z27" s="205" t="s">
        <v>138</v>
      </c>
      <c r="AA27" s="125" t="s">
        <v>161</v>
      </c>
      <c r="AB27" s="125">
        <v>443</v>
      </c>
      <c r="AC27" s="125">
        <v>121</v>
      </c>
      <c r="AD27" s="126">
        <v>0.75</v>
      </c>
      <c r="AE27" s="127">
        <f>_xlfn.FLOOR.MATH(AC27*AD27,1)</f>
        <v>90</v>
      </c>
      <c r="AF27" s="128">
        <f t="shared" si="0"/>
        <v>88.888888888888886</v>
      </c>
      <c r="AI27" s="205" t="s">
        <v>138</v>
      </c>
      <c r="AJ27" s="125" t="s">
        <v>161</v>
      </c>
      <c r="AK27" s="125">
        <v>443</v>
      </c>
      <c r="AL27" s="125">
        <v>121</v>
      </c>
      <c r="AM27" s="126">
        <v>0.75</v>
      </c>
      <c r="AN27" s="127">
        <f>_xlfn.FLOOR.MATH(AL27*AM27,1)</f>
        <v>90</v>
      </c>
      <c r="AO27" s="128">
        <f>8000/AN27</f>
        <v>88.888888888888886</v>
      </c>
      <c r="AQ27" s="205" t="s">
        <v>138</v>
      </c>
      <c r="AR27" s="125" t="s">
        <v>161</v>
      </c>
      <c r="AS27" s="125">
        <v>443</v>
      </c>
      <c r="AT27" s="125">
        <v>121</v>
      </c>
      <c r="AU27" s="126">
        <v>0.75</v>
      </c>
      <c r="AV27" s="127">
        <f>_xlfn.FLOOR.MATH(AT27*AU27,1)</f>
        <v>90</v>
      </c>
      <c r="AW27" s="128">
        <f t="shared" ref="AW27" si="1">8000/AV27</f>
        <v>88.888888888888886</v>
      </c>
    </row>
    <row r="28" spans="6:49" s="25" customFormat="1" ht="17" x14ac:dyDescent="0.2">
      <c r="R28" s="205"/>
      <c r="S28" s="101" t="s">
        <v>125</v>
      </c>
      <c r="T28" s="101">
        <v>342</v>
      </c>
      <c r="U28" s="101">
        <v>163</v>
      </c>
      <c r="V28" s="102">
        <v>0.53100000000000003</v>
      </c>
      <c r="W28" s="103">
        <f>_xlfn.FLOOR.MATH(U28*V28,1)+1</f>
        <v>87</v>
      </c>
      <c r="X28" s="104">
        <f>12000/W28</f>
        <v>137.93103448275863</v>
      </c>
      <c r="Z28" s="205"/>
      <c r="AA28" s="101" t="s">
        <v>125</v>
      </c>
      <c r="AB28" s="101">
        <v>342</v>
      </c>
      <c r="AC28" s="101">
        <v>163</v>
      </c>
      <c r="AD28" s="102">
        <v>0.57999999999999996</v>
      </c>
      <c r="AE28" s="103">
        <f>_xlfn.FLOOR.MATH(AC28*AD28,1)+1</f>
        <v>95</v>
      </c>
      <c r="AF28" s="104">
        <f t="shared" si="0"/>
        <v>84.21052631578948</v>
      </c>
      <c r="AI28" s="205"/>
      <c r="AJ28" s="101" t="s">
        <v>125</v>
      </c>
      <c r="AK28" s="101">
        <v>342</v>
      </c>
      <c r="AL28" s="101">
        <v>163</v>
      </c>
      <c r="AM28" s="102">
        <v>0.74399999999999999</v>
      </c>
      <c r="AN28" s="103">
        <f>_xlfn.FLOOR.MATH(AL28*AM28,1)+1</f>
        <v>122</v>
      </c>
      <c r="AO28" s="104">
        <f>12000/AN28</f>
        <v>98.360655737704917</v>
      </c>
      <c r="AQ28" s="205"/>
      <c r="AR28" s="101" t="s">
        <v>125</v>
      </c>
      <c r="AS28" s="101">
        <v>342</v>
      </c>
      <c r="AT28" s="101">
        <v>163</v>
      </c>
      <c r="AU28" s="102">
        <v>0.77700000000000002</v>
      </c>
      <c r="AV28" s="103">
        <f>_xlfn.FLOOR.MATH(AT28*AU28,1)+1</f>
        <v>127</v>
      </c>
      <c r="AW28" s="104">
        <f>10000/AV28</f>
        <v>78.740157480314963</v>
      </c>
    </row>
    <row r="29" spans="6:49" s="25" customFormat="1" ht="17" x14ac:dyDescent="0.2">
      <c r="R29" s="205" t="s">
        <v>123</v>
      </c>
      <c r="S29" s="125" t="s">
        <v>5</v>
      </c>
      <c r="T29" s="125">
        <v>366</v>
      </c>
      <c r="U29" s="125">
        <v>150</v>
      </c>
      <c r="V29" s="126"/>
      <c r="W29" s="127"/>
      <c r="X29" s="128"/>
      <c r="Z29" s="205" t="s">
        <v>123</v>
      </c>
      <c r="AA29" s="125" t="s">
        <v>5</v>
      </c>
      <c r="AB29" s="125">
        <v>366</v>
      </c>
      <c r="AC29" s="125">
        <v>150</v>
      </c>
      <c r="AD29" s="126"/>
      <c r="AE29" s="127"/>
      <c r="AF29" s="128"/>
      <c r="AI29" s="205" t="s">
        <v>123</v>
      </c>
      <c r="AJ29" s="125" t="s">
        <v>5</v>
      </c>
      <c r="AK29" s="125">
        <v>366</v>
      </c>
      <c r="AL29" s="125">
        <v>150</v>
      </c>
      <c r="AM29" s="126"/>
      <c r="AN29" s="127"/>
      <c r="AO29" s="128"/>
      <c r="AQ29" s="205" t="s">
        <v>123</v>
      </c>
      <c r="AR29" s="125" t="s">
        <v>5</v>
      </c>
      <c r="AS29" s="125">
        <v>366</v>
      </c>
      <c r="AT29" s="125">
        <v>150</v>
      </c>
      <c r="AU29" s="126"/>
      <c r="AV29" s="127"/>
      <c r="AW29" s="128"/>
    </row>
    <row r="30" spans="6:49" ht="18" thickBot="1" x14ac:dyDescent="0.25">
      <c r="R30" s="208"/>
      <c r="S30" s="105" t="s">
        <v>125</v>
      </c>
      <c r="T30" s="105">
        <v>445</v>
      </c>
      <c r="U30" s="36">
        <v>125</v>
      </c>
      <c r="V30" s="123">
        <v>0.45</v>
      </c>
      <c r="W30" s="124">
        <f>_xlfn.FLOOR.MATH(U30*V30,1)+1</f>
        <v>57</v>
      </c>
      <c r="X30" s="106">
        <f>12000/W30</f>
        <v>210.52631578947367</v>
      </c>
      <c r="Z30" s="208"/>
      <c r="AA30" s="105" t="s">
        <v>125</v>
      </c>
      <c r="AB30" s="105">
        <v>445</v>
      </c>
      <c r="AC30" s="36">
        <v>125</v>
      </c>
      <c r="AD30" s="123">
        <v>0.503</v>
      </c>
      <c r="AE30" s="124">
        <f>_xlfn.FLOOR.MATH(AC30*AD30,1)+1</f>
        <v>63</v>
      </c>
      <c r="AF30" s="106">
        <f>8000/AE30</f>
        <v>126.98412698412699</v>
      </c>
      <c r="AI30" s="208"/>
      <c r="AJ30" s="105" t="s">
        <v>125</v>
      </c>
      <c r="AK30" s="105">
        <v>445</v>
      </c>
      <c r="AL30" s="36">
        <v>125</v>
      </c>
      <c r="AM30" s="123">
        <v>0.69699999999999995</v>
      </c>
      <c r="AN30" s="124">
        <f>_xlfn.FLOOR.MATH(AL30*AM30,1)+1</f>
        <v>88</v>
      </c>
      <c r="AO30" s="106">
        <f>12000/AN30</f>
        <v>136.36363636363637</v>
      </c>
      <c r="AQ30" s="208"/>
      <c r="AR30" s="105" t="s">
        <v>125</v>
      </c>
      <c r="AS30" s="105">
        <v>445</v>
      </c>
      <c r="AT30" s="36">
        <v>125</v>
      </c>
      <c r="AU30" s="123">
        <v>0.71899999999999997</v>
      </c>
      <c r="AV30" s="124">
        <f>_xlfn.FLOOR.MATH(AT30*AU30,1)+1</f>
        <v>90</v>
      </c>
      <c r="AW30" s="106">
        <f>10000/AV30</f>
        <v>111.11111111111111</v>
      </c>
    </row>
    <row r="34" spans="18:26" ht="25" thickBot="1" x14ac:dyDescent="0.25">
      <c r="R34" s="213" t="s">
        <v>223</v>
      </c>
      <c r="S34" s="206"/>
      <c r="T34" s="206"/>
      <c r="U34" s="206"/>
      <c r="V34" s="206"/>
      <c r="W34" s="206"/>
      <c r="X34" s="206"/>
      <c r="Y34" s="206"/>
      <c r="Z34" s="206"/>
    </row>
    <row r="35" spans="18:26" ht="21" thickBot="1" x14ac:dyDescent="0.25">
      <c r="R35" s="170" t="s">
        <v>159</v>
      </c>
      <c r="S35" s="171" t="s">
        <v>2</v>
      </c>
      <c r="T35" s="172" t="s">
        <v>160</v>
      </c>
      <c r="U35" s="171" t="s">
        <v>157</v>
      </c>
      <c r="V35" s="171" t="s">
        <v>217</v>
      </c>
      <c r="W35" s="171" t="s">
        <v>195</v>
      </c>
      <c r="X35" s="171" t="s">
        <v>85</v>
      </c>
      <c r="Y35" s="173" t="s">
        <v>114</v>
      </c>
      <c r="Z35" s="174" t="s">
        <v>158</v>
      </c>
    </row>
    <row r="36" spans="18:26" ht="17" x14ac:dyDescent="0.2">
      <c r="R36" s="212" t="s">
        <v>137</v>
      </c>
      <c r="S36" s="175" t="s">
        <v>161</v>
      </c>
      <c r="T36" s="175">
        <v>366</v>
      </c>
      <c r="U36" s="175">
        <v>150</v>
      </c>
      <c r="V36" s="175" t="s">
        <v>218</v>
      </c>
      <c r="W36" s="176">
        <f>$S$19</f>
        <v>16628</v>
      </c>
      <c r="X36" s="177">
        <f>Y36/U36</f>
        <v>0.77333333333333332</v>
      </c>
      <c r="Y36" s="178">
        <v>116</v>
      </c>
      <c r="Z36" s="179">
        <f t="shared" ref="Z36:Z50" si="2">W36/Y36</f>
        <v>143.34482758620689</v>
      </c>
    </row>
    <row r="37" spans="18:26" ht="17" x14ac:dyDescent="0.2">
      <c r="R37" s="205"/>
      <c r="S37" s="125" t="s">
        <v>161</v>
      </c>
      <c r="T37" s="125">
        <v>366</v>
      </c>
      <c r="U37" s="125">
        <v>150</v>
      </c>
      <c r="V37" s="125" t="s">
        <v>219</v>
      </c>
      <c r="W37" s="167">
        <f>$T$19</f>
        <v>13543</v>
      </c>
      <c r="X37" s="126">
        <f>Y37/U37</f>
        <v>0.79333333333333333</v>
      </c>
      <c r="Y37" s="127">
        <v>119</v>
      </c>
      <c r="Z37" s="128">
        <f t="shared" si="2"/>
        <v>113.80672268907563</v>
      </c>
    </row>
    <row r="38" spans="18:26" ht="17" x14ac:dyDescent="0.2">
      <c r="R38" s="205"/>
      <c r="S38" s="125" t="s">
        <v>161</v>
      </c>
      <c r="T38" s="125">
        <v>366</v>
      </c>
      <c r="U38" s="125">
        <v>150</v>
      </c>
      <c r="V38" s="125" t="s">
        <v>220</v>
      </c>
      <c r="W38" s="167">
        <f>$U$19</f>
        <v>6288</v>
      </c>
      <c r="X38" s="126">
        <f>Y38/U38</f>
        <v>0.79333333333333333</v>
      </c>
      <c r="Y38" s="127">
        <v>119</v>
      </c>
      <c r="Z38" s="128">
        <f t="shared" si="2"/>
        <v>52.840336134453779</v>
      </c>
    </row>
    <row r="39" spans="18:26" ht="17" x14ac:dyDescent="0.2">
      <c r="R39" s="205"/>
      <c r="S39" s="101" t="s">
        <v>125</v>
      </c>
      <c r="T39" s="101">
        <v>274</v>
      </c>
      <c r="U39" s="101">
        <v>207</v>
      </c>
      <c r="V39" s="101" t="s">
        <v>218</v>
      </c>
      <c r="W39" s="168">
        <f>$S$21</f>
        <v>10526</v>
      </c>
      <c r="X39" s="102">
        <v>0.82499999999999996</v>
      </c>
      <c r="Y39" s="103">
        <f>_xlfn.FLOOR.MATH(U39*X39,1)</f>
        <v>170</v>
      </c>
      <c r="Z39" s="186">
        <f t="shared" si="2"/>
        <v>61.917647058823526</v>
      </c>
    </row>
    <row r="40" spans="18:26" ht="17" x14ac:dyDescent="0.2">
      <c r="R40" s="205"/>
      <c r="S40" s="101" t="s">
        <v>125</v>
      </c>
      <c r="T40" s="101">
        <v>274</v>
      </c>
      <c r="U40" s="101">
        <v>207</v>
      </c>
      <c r="V40" s="101" t="s">
        <v>219</v>
      </c>
      <c r="W40" s="168">
        <f>$T$21</f>
        <v>10526</v>
      </c>
      <c r="X40" s="102">
        <v>0.82499999999999996</v>
      </c>
      <c r="Y40" s="103">
        <f>_xlfn.FLOOR.MATH(U40*X40,1)</f>
        <v>170</v>
      </c>
      <c r="Z40" s="186">
        <f t="shared" si="2"/>
        <v>61.917647058823526</v>
      </c>
    </row>
    <row r="41" spans="18:26" ht="18" thickBot="1" x14ac:dyDescent="0.25">
      <c r="R41" s="208"/>
      <c r="S41" s="105" t="s">
        <v>125</v>
      </c>
      <c r="T41" s="105">
        <v>274</v>
      </c>
      <c r="U41" s="105">
        <v>207</v>
      </c>
      <c r="V41" s="105" t="s">
        <v>220</v>
      </c>
      <c r="W41" s="180">
        <f>$U$21</f>
        <v>10526</v>
      </c>
      <c r="X41" s="181">
        <v>0.82499999999999996</v>
      </c>
      <c r="Y41" s="124">
        <f>_xlfn.FLOOR.MATH(U41*X41,1)</f>
        <v>170</v>
      </c>
      <c r="Z41" s="187">
        <f t="shared" si="2"/>
        <v>61.917647058823526</v>
      </c>
    </row>
    <row r="42" spans="18:26" ht="17" x14ac:dyDescent="0.2">
      <c r="R42" s="212" t="s">
        <v>138</v>
      </c>
      <c r="S42" s="175" t="s">
        <v>161</v>
      </c>
      <c r="T42" s="175">
        <v>443</v>
      </c>
      <c r="U42" s="175">
        <v>121</v>
      </c>
      <c r="V42" s="175" t="s">
        <v>218</v>
      </c>
      <c r="W42" s="176">
        <f>$S$19</f>
        <v>16628</v>
      </c>
      <c r="X42" s="177">
        <f>Y42/U42</f>
        <v>0.71900826446280997</v>
      </c>
      <c r="Y42" s="178">
        <v>87</v>
      </c>
      <c r="Z42" s="179">
        <f t="shared" si="2"/>
        <v>191.12643678160919</v>
      </c>
    </row>
    <row r="43" spans="18:26" ht="17" x14ac:dyDescent="0.2">
      <c r="R43" s="205"/>
      <c r="S43" s="125" t="s">
        <v>161</v>
      </c>
      <c r="T43" s="125">
        <v>443</v>
      </c>
      <c r="U43" s="125">
        <v>121</v>
      </c>
      <c r="V43" s="125" t="s">
        <v>219</v>
      </c>
      <c r="W43" s="167">
        <f>$T$19</f>
        <v>13543</v>
      </c>
      <c r="X43" s="126">
        <f>Y43/U43</f>
        <v>0.74380165289256195</v>
      </c>
      <c r="Y43" s="127">
        <v>90</v>
      </c>
      <c r="Z43" s="128">
        <f t="shared" si="2"/>
        <v>150.47777777777779</v>
      </c>
    </row>
    <row r="44" spans="18:26" ht="17" x14ac:dyDescent="0.2">
      <c r="R44" s="205"/>
      <c r="S44" s="125" t="s">
        <v>161</v>
      </c>
      <c r="T44" s="125">
        <v>443</v>
      </c>
      <c r="U44" s="125">
        <v>121</v>
      </c>
      <c r="V44" s="125" t="s">
        <v>220</v>
      </c>
      <c r="W44" s="167">
        <f>$U$19</f>
        <v>6288</v>
      </c>
      <c r="X44" s="126">
        <f>Y44/U44</f>
        <v>0.74380165289256195</v>
      </c>
      <c r="Y44" s="127">
        <v>90</v>
      </c>
      <c r="Z44" s="128">
        <f t="shared" si="2"/>
        <v>69.86666666666666</v>
      </c>
    </row>
    <row r="45" spans="18:26" ht="18" customHeight="1" x14ac:dyDescent="0.2">
      <c r="R45" s="205"/>
      <c r="S45" s="101" t="s">
        <v>125</v>
      </c>
      <c r="T45" s="101">
        <v>342</v>
      </c>
      <c r="U45" s="101">
        <v>163</v>
      </c>
      <c r="V45" s="101" t="s">
        <v>218</v>
      </c>
      <c r="W45" s="168">
        <f>$S$21</f>
        <v>10526</v>
      </c>
      <c r="X45" s="102">
        <v>0.77700000000000002</v>
      </c>
      <c r="Y45" s="103">
        <f>_xlfn.FLOOR.MATH(U45*X45,1)+1</f>
        <v>127</v>
      </c>
      <c r="Z45" s="186">
        <f t="shared" si="2"/>
        <v>82.881889763779526</v>
      </c>
    </row>
    <row r="46" spans="18:26" ht="18" customHeight="1" x14ac:dyDescent="0.2">
      <c r="R46" s="205"/>
      <c r="S46" s="101" t="s">
        <v>125</v>
      </c>
      <c r="T46" s="101">
        <v>342</v>
      </c>
      <c r="U46" s="101">
        <v>163</v>
      </c>
      <c r="V46" s="101" t="s">
        <v>219</v>
      </c>
      <c r="W46" s="168">
        <f>$T$21</f>
        <v>10526</v>
      </c>
      <c r="X46" s="102">
        <v>0.77700000000000002</v>
      </c>
      <c r="Y46" s="103">
        <f>_xlfn.FLOOR.MATH(U46*X46,1)+1</f>
        <v>127</v>
      </c>
      <c r="Z46" s="186">
        <f t="shared" si="2"/>
        <v>82.881889763779526</v>
      </c>
    </row>
    <row r="47" spans="18:26" ht="18" customHeight="1" thickBot="1" x14ac:dyDescent="0.25">
      <c r="R47" s="214"/>
      <c r="S47" s="182" t="s">
        <v>125</v>
      </c>
      <c r="T47" s="182">
        <v>342</v>
      </c>
      <c r="U47" s="182">
        <v>163</v>
      </c>
      <c r="V47" s="182" t="s">
        <v>220</v>
      </c>
      <c r="W47" s="183">
        <f>$U$21</f>
        <v>10526</v>
      </c>
      <c r="X47" s="184">
        <v>0.77700000000000002</v>
      </c>
      <c r="Y47" s="185">
        <f>_xlfn.FLOOR.MATH(U47*X47,1)+1</f>
        <v>127</v>
      </c>
      <c r="Z47" s="188">
        <f t="shared" si="2"/>
        <v>82.881889763779526</v>
      </c>
    </row>
    <row r="48" spans="18:26" ht="17" x14ac:dyDescent="0.2">
      <c r="R48" s="212" t="s">
        <v>123</v>
      </c>
      <c r="S48" s="175" t="s">
        <v>222</v>
      </c>
      <c r="T48" s="175">
        <v>366</v>
      </c>
      <c r="U48" s="175">
        <v>150</v>
      </c>
      <c r="V48" s="175" t="s">
        <v>219</v>
      </c>
      <c r="W48" s="176">
        <f>$T$20</f>
        <v>16928.75</v>
      </c>
      <c r="X48" s="177">
        <f>Y48/U48</f>
        <v>0.77333333333333332</v>
      </c>
      <c r="Y48" s="178">
        <v>116</v>
      </c>
      <c r="Z48" s="179">
        <f>W48/Y48</f>
        <v>145.9375</v>
      </c>
    </row>
    <row r="49" spans="18:26" ht="17" x14ac:dyDescent="0.2">
      <c r="R49" s="205"/>
      <c r="S49" s="125" t="s">
        <v>222</v>
      </c>
      <c r="T49" s="125">
        <v>366</v>
      </c>
      <c r="U49" s="125">
        <v>150</v>
      </c>
      <c r="V49" s="125" t="s">
        <v>220</v>
      </c>
      <c r="W49" s="167">
        <f>$U$20</f>
        <v>7860</v>
      </c>
      <c r="X49" s="126">
        <f>Y49/U49</f>
        <v>0.79333333333333333</v>
      </c>
      <c r="Y49" s="127">
        <v>119</v>
      </c>
      <c r="Z49" s="128">
        <f t="shared" si="2"/>
        <v>66.050420168067234</v>
      </c>
    </row>
    <row r="50" spans="18:26" ht="17" x14ac:dyDescent="0.2">
      <c r="R50" s="205"/>
      <c r="S50" s="125" t="s">
        <v>222</v>
      </c>
      <c r="T50" s="125">
        <v>366</v>
      </c>
      <c r="U50" s="125">
        <v>150</v>
      </c>
      <c r="V50" s="125" t="s">
        <v>221</v>
      </c>
      <c r="W50" s="167">
        <f>$V$20</f>
        <v>7118.75</v>
      </c>
      <c r="X50" s="126">
        <f>Y50/U50</f>
        <v>0.79333333333333333</v>
      </c>
      <c r="Y50" s="127">
        <v>119</v>
      </c>
      <c r="Z50" s="128">
        <f t="shared" si="2"/>
        <v>59.821428571428569</v>
      </c>
    </row>
    <row r="51" spans="18:26" ht="17" x14ac:dyDescent="0.2">
      <c r="R51" s="205"/>
      <c r="S51" s="101" t="s">
        <v>125</v>
      </c>
      <c r="T51" s="101">
        <v>445</v>
      </c>
      <c r="U51" s="29">
        <v>125</v>
      </c>
      <c r="V51" s="101" t="s">
        <v>219</v>
      </c>
      <c r="W51" s="168">
        <f>$T$21</f>
        <v>10526</v>
      </c>
      <c r="X51" s="169">
        <v>0.71899999999999997</v>
      </c>
      <c r="Y51" s="103">
        <f>_xlfn.FLOOR.MATH(U51*X51,1)+1</f>
        <v>90</v>
      </c>
      <c r="Z51" s="186">
        <f>W51/Y51</f>
        <v>116.95555555555555</v>
      </c>
    </row>
    <row r="52" spans="18:26" ht="17" x14ac:dyDescent="0.2">
      <c r="R52" s="205"/>
      <c r="S52" s="101" t="s">
        <v>125</v>
      </c>
      <c r="T52" s="101">
        <v>445</v>
      </c>
      <c r="U52" s="29">
        <v>125</v>
      </c>
      <c r="V52" s="101" t="s">
        <v>220</v>
      </c>
      <c r="W52" s="168">
        <f>$U$21</f>
        <v>10526</v>
      </c>
      <c r="X52" s="169">
        <v>0.71899999999999997</v>
      </c>
      <c r="Y52" s="103">
        <f>_xlfn.FLOOR.MATH(U52*X52,1)+1</f>
        <v>90</v>
      </c>
      <c r="Z52" s="186">
        <f>W52/Y52</f>
        <v>116.95555555555555</v>
      </c>
    </row>
    <row r="53" spans="18:26" ht="18" thickBot="1" x14ac:dyDescent="0.25">
      <c r="R53" s="208"/>
      <c r="S53" s="105" t="s">
        <v>125</v>
      </c>
      <c r="T53" s="105">
        <v>445</v>
      </c>
      <c r="U53" s="36">
        <v>125</v>
      </c>
      <c r="V53" s="105" t="s">
        <v>221</v>
      </c>
      <c r="W53" s="180">
        <f>$V$21</f>
        <v>10526</v>
      </c>
      <c r="X53" s="123">
        <v>0.71899999999999997</v>
      </c>
      <c r="Y53" s="124">
        <f>_xlfn.FLOOR.MATH(U53*X53,1)+1</f>
        <v>90</v>
      </c>
      <c r="Z53" s="187">
        <f>W53/Y53</f>
        <v>116.95555555555555</v>
      </c>
    </row>
    <row r="54" spans="18:26" x14ac:dyDescent="0.2">
      <c r="R54" s="211" t="s">
        <v>224</v>
      </c>
      <c r="S54" s="211"/>
      <c r="T54" s="211"/>
      <c r="U54" s="211"/>
      <c r="V54" s="211"/>
      <c r="W54" s="211"/>
      <c r="X54" s="211"/>
      <c r="Y54" s="211"/>
      <c r="Z54" s="211"/>
    </row>
  </sheetData>
  <mergeCells count="27">
    <mergeCell ref="R54:Z54"/>
    <mergeCell ref="A1:D1"/>
    <mergeCell ref="I10:L10"/>
    <mergeCell ref="N10:P10"/>
    <mergeCell ref="R10:T10"/>
    <mergeCell ref="H17:L17"/>
    <mergeCell ref="N17:P17"/>
    <mergeCell ref="R23:X23"/>
    <mergeCell ref="Z23:AF23"/>
    <mergeCell ref="R48:R53"/>
    <mergeCell ref="R34:Z34"/>
    <mergeCell ref="R36:R41"/>
    <mergeCell ref="R42:R47"/>
    <mergeCell ref="AI23:AO23"/>
    <mergeCell ref="AQ23:AW23"/>
    <mergeCell ref="R25:R26"/>
    <mergeCell ref="Z25:Z26"/>
    <mergeCell ref="AI25:AI26"/>
    <mergeCell ref="AQ25:AQ26"/>
    <mergeCell ref="AI27:AI28"/>
    <mergeCell ref="AQ27:AQ28"/>
    <mergeCell ref="R29:R30"/>
    <mergeCell ref="Z29:Z30"/>
    <mergeCell ref="AI29:AI30"/>
    <mergeCell ref="AQ29:AQ30"/>
    <mergeCell ref="R27:R28"/>
    <mergeCell ref="Z27:Z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Wafer level</vt:lpstr>
      <vt:lpstr>Cost</vt:lpstr>
      <vt:lpstr>HCC</vt:lpstr>
      <vt:lpstr>Architecture</vt:lpstr>
      <vt:lpstr>adm vs. n6 sram exercise</vt:lpstr>
      <vt:lpstr>BMG from randy</vt:lpstr>
      <vt:lpstr>BMG same die size</vt:lpstr>
      <vt:lpstr>Note from Markus</vt:lpstr>
      <vt:lpstr>Sheet1</vt:lpstr>
      <vt:lpstr>Note from CherSian</vt:lpstr>
      <vt:lpstr>'Note from Markus'!_MailOriginal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Kau, Derchang</cp:lastModifiedBy>
  <dcterms:created xsi:type="dcterms:W3CDTF">2022-02-01T22:32:04Z</dcterms:created>
  <dcterms:modified xsi:type="dcterms:W3CDTF">2024-07-09T07:21:46Z</dcterms:modified>
</cp:coreProperties>
</file>