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3D Package/Thermal/"/>
    </mc:Choice>
  </mc:AlternateContent>
  <xr:revisionPtr revIDLastSave="1781" documentId="8_{62E48328-7ED1-3049-B2AD-C2A2B171FBAD}" xr6:coauthVersionLast="47" xr6:coauthVersionMax="47" xr10:uidLastSave="{25B86E22-6310-CE49-B09D-FD0B78EE2BC3}"/>
  <bookViews>
    <workbookView xWindow="-19320" yWindow="-20000" windowWidth="32000" windowHeight="20000" activeTab="2" xr2:uid="{43CE9E96-7CF7-AC45-99B9-40910FE7D6DD}"/>
  </bookViews>
  <sheets>
    <sheet name="µBump technology" sheetId="1" r:id="rId1"/>
    <sheet name="Disagg. Memory " sheetId="2" r:id="rId2"/>
    <sheet name="Thermal resistance cal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6" i="3"/>
  <c r="E2" i="3"/>
  <c r="G9" i="3"/>
  <c r="H64" i="2" l="1"/>
  <c r="E18" i="3"/>
  <c r="E20" i="3"/>
  <c r="E19" i="3"/>
  <c r="E17" i="3"/>
  <c r="E16" i="3"/>
  <c r="E13" i="3"/>
  <c r="E15" i="3"/>
  <c r="D21" i="3"/>
  <c r="E14" i="3"/>
  <c r="E12" i="3"/>
  <c r="E11" i="3"/>
  <c r="E4" i="3"/>
  <c r="E10" i="3"/>
  <c r="E9" i="3"/>
  <c r="E8" i="3"/>
  <c r="E7" i="3"/>
  <c r="E5" i="3"/>
  <c r="E3" i="3"/>
  <c r="AL55" i="2"/>
  <c r="Z55" i="2"/>
  <c r="AB55" i="2" s="1"/>
  <c r="Y55" i="2"/>
  <c r="U55" i="2"/>
  <c r="Q55" i="2"/>
  <c r="S55" i="2" s="1"/>
  <c r="F55" i="2" s="1"/>
  <c r="O55" i="2"/>
  <c r="N55" i="2"/>
  <c r="O61" i="2"/>
  <c r="O60" i="2"/>
  <c r="O59" i="2"/>
  <c r="O58" i="2"/>
  <c r="O57" i="2"/>
  <c r="O56" i="2"/>
  <c r="O54" i="2"/>
  <c r="O53" i="2"/>
  <c r="O52" i="2"/>
  <c r="O51" i="2"/>
  <c r="U44" i="2"/>
  <c r="U43" i="2"/>
  <c r="U41" i="2"/>
  <c r="U40" i="2"/>
  <c r="U38" i="2"/>
  <c r="U37" i="2"/>
  <c r="U35" i="2"/>
  <c r="U34" i="2"/>
  <c r="U32" i="2"/>
  <c r="U31" i="2"/>
  <c r="U29" i="2"/>
  <c r="U28" i="2"/>
  <c r="U26" i="2"/>
  <c r="U25" i="2"/>
  <c r="U23" i="2"/>
  <c r="U22" i="2"/>
  <c r="U20" i="2"/>
  <c r="U19" i="2"/>
  <c r="U17" i="2"/>
  <c r="U16" i="2"/>
  <c r="U14" i="2"/>
  <c r="U13" i="2"/>
  <c r="U11" i="2"/>
  <c r="U10" i="2"/>
  <c r="U8" i="2"/>
  <c r="U7" i="2"/>
  <c r="U5" i="2"/>
  <c r="U4" i="2"/>
  <c r="U61" i="2"/>
  <c r="U60" i="2"/>
  <c r="U59" i="2"/>
  <c r="U58" i="2"/>
  <c r="U57" i="2"/>
  <c r="U56" i="2"/>
  <c r="U54" i="2"/>
  <c r="U52" i="2"/>
  <c r="U51" i="2"/>
  <c r="U50" i="2"/>
  <c r="AL57" i="2"/>
  <c r="Z57" i="2"/>
  <c r="AB57" i="2" s="1"/>
  <c r="Y57" i="2"/>
  <c r="Q57" i="2"/>
  <c r="N57" i="2"/>
  <c r="AL53" i="2"/>
  <c r="Z53" i="2"/>
  <c r="AB53" i="2" s="1"/>
  <c r="Y53" i="2"/>
  <c r="Q53" i="2"/>
  <c r="S53" i="2" s="1"/>
  <c r="N53" i="2"/>
  <c r="AL60" i="2"/>
  <c r="Z60" i="2"/>
  <c r="AB60" i="2" s="1"/>
  <c r="Y60" i="2"/>
  <c r="Q60" i="2"/>
  <c r="N60" i="2"/>
  <c r="AL61" i="2"/>
  <c r="Z61" i="2"/>
  <c r="AB61" i="2" s="1"/>
  <c r="Y61" i="2"/>
  <c r="Q61" i="2"/>
  <c r="S61" i="2" s="1"/>
  <c r="F61" i="2" s="1"/>
  <c r="N61" i="2"/>
  <c r="AL59" i="2"/>
  <c r="Z59" i="2"/>
  <c r="AB59" i="2" s="1"/>
  <c r="Y59" i="2"/>
  <c r="Q59" i="2"/>
  <c r="S59" i="2" s="1"/>
  <c r="F59" i="2" s="1"/>
  <c r="V59" i="2" s="1"/>
  <c r="N59" i="2"/>
  <c r="AL52" i="2"/>
  <c r="Z52" i="2"/>
  <c r="AB52" i="2" s="1"/>
  <c r="Y52" i="2"/>
  <c r="Q52" i="2"/>
  <c r="N52" i="2"/>
  <c r="AL51" i="2"/>
  <c r="Z51" i="2"/>
  <c r="AB51" i="2" s="1"/>
  <c r="Y51" i="2"/>
  <c r="Q51" i="2"/>
  <c r="N51" i="2"/>
  <c r="AL58" i="2"/>
  <c r="Z58" i="2"/>
  <c r="AB58" i="2" s="1"/>
  <c r="Y58" i="2"/>
  <c r="Q58" i="2"/>
  <c r="N58" i="2"/>
  <c r="AL56" i="2"/>
  <c r="Z56" i="2"/>
  <c r="AB56" i="2" s="1"/>
  <c r="Y56" i="2"/>
  <c r="Q56" i="2"/>
  <c r="N56" i="2"/>
  <c r="AL54" i="2"/>
  <c r="Z54" i="2"/>
  <c r="AB54" i="2" s="1"/>
  <c r="Y54" i="2"/>
  <c r="Q54" i="2"/>
  <c r="N54" i="2"/>
  <c r="AL50" i="2"/>
  <c r="Z50" i="2"/>
  <c r="AB50" i="2" s="1"/>
  <c r="Y50" i="2"/>
  <c r="Q50" i="2"/>
  <c r="N50" i="2"/>
  <c r="N64" i="2" s="1"/>
  <c r="AL26" i="2"/>
  <c r="Z26" i="2"/>
  <c r="AB26" i="2" s="1"/>
  <c r="Y26" i="2"/>
  <c r="Q26" i="2"/>
  <c r="N26" i="2"/>
  <c r="AL25" i="2"/>
  <c r="Z25" i="2"/>
  <c r="AB25" i="2" s="1"/>
  <c r="Y25" i="2"/>
  <c r="Q25" i="2"/>
  <c r="N25" i="2"/>
  <c r="AL23" i="2"/>
  <c r="Z23" i="2"/>
  <c r="AB23" i="2" s="1"/>
  <c r="Y23" i="2"/>
  <c r="Q23" i="2"/>
  <c r="N23" i="2"/>
  <c r="AL22" i="2"/>
  <c r="Z22" i="2"/>
  <c r="AB22" i="2" s="1"/>
  <c r="Y22" i="2"/>
  <c r="Q22" i="2"/>
  <c r="N22" i="2"/>
  <c r="AL14" i="2"/>
  <c r="Z14" i="2"/>
  <c r="AB14" i="2" s="1"/>
  <c r="Y14" i="2"/>
  <c r="Q14" i="2"/>
  <c r="N14" i="2"/>
  <c r="AL13" i="2"/>
  <c r="Z13" i="2"/>
  <c r="AB13" i="2" s="1"/>
  <c r="Y13" i="2"/>
  <c r="Q13" i="2"/>
  <c r="N13" i="2"/>
  <c r="AL11" i="2"/>
  <c r="Z11" i="2"/>
  <c r="AB11" i="2" s="1"/>
  <c r="Y11" i="2"/>
  <c r="Q11" i="2"/>
  <c r="S11" i="2" s="1"/>
  <c r="F11" i="2" s="1"/>
  <c r="N11" i="2"/>
  <c r="AL10" i="2"/>
  <c r="Z10" i="2"/>
  <c r="AB10" i="2" s="1"/>
  <c r="Y10" i="2"/>
  <c r="Q10" i="2"/>
  <c r="N10" i="2"/>
  <c r="AL44" i="2"/>
  <c r="Z44" i="2"/>
  <c r="AB44" i="2" s="1"/>
  <c r="Y44" i="2"/>
  <c r="Q44" i="2"/>
  <c r="N44" i="2"/>
  <c r="AL43" i="2"/>
  <c r="Z43" i="2"/>
  <c r="AB43" i="2" s="1"/>
  <c r="Y43" i="2"/>
  <c r="Q43" i="2"/>
  <c r="N43" i="2"/>
  <c r="AL41" i="2"/>
  <c r="Z41" i="2"/>
  <c r="AB41" i="2" s="1"/>
  <c r="Y41" i="2"/>
  <c r="Q41" i="2"/>
  <c r="N41" i="2"/>
  <c r="AL40" i="2"/>
  <c r="Z40" i="2"/>
  <c r="AB40" i="2" s="1"/>
  <c r="Y40" i="2"/>
  <c r="Q40" i="2"/>
  <c r="S40" i="2" s="1"/>
  <c r="F40" i="2" s="1"/>
  <c r="N40" i="2"/>
  <c r="AL38" i="2"/>
  <c r="Z38" i="2"/>
  <c r="AB38" i="2" s="1"/>
  <c r="Y38" i="2"/>
  <c r="Q38" i="2"/>
  <c r="N38" i="2"/>
  <c r="AL37" i="2"/>
  <c r="Z37" i="2"/>
  <c r="AB37" i="2" s="1"/>
  <c r="Y37" i="2"/>
  <c r="Q37" i="2"/>
  <c r="N37" i="2"/>
  <c r="AL35" i="2"/>
  <c r="Z35" i="2"/>
  <c r="AB35" i="2" s="1"/>
  <c r="Y35" i="2"/>
  <c r="Q35" i="2"/>
  <c r="N35" i="2"/>
  <c r="AL34" i="2"/>
  <c r="Z34" i="2"/>
  <c r="AB34" i="2" s="1"/>
  <c r="Y34" i="2"/>
  <c r="Q34" i="2"/>
  <c r="S34" i="2" s="1"/>
  <c r="N34" i="2"/>
  <c r="AL32" i="2"/>
  <c r="Z32" i="2"/>
  <c r="AB32" i="2" s="1"/>
  <c r="Y32" i="2"/>
  <c r="Q32" i="2"/>
  <c r="N32" i="2"/>
  <c r="AL31" i="2"/>
  <c r="Z31" i="2"/>
  <c r="AB31" i="2" s="1"/>
  <c r="Y31" i="2"/>
  <c r="Q31" i="2"/>
  <c r="S31" i="2" s="1"/>
  <c r="F31" i="2" s="1"/>
  <c r="N31" i="2"/>
  <c r="AL29" i="2"/>
  <c r="Z29" i="2"/>
  <c r="Y29" i="2"/>
  <c r="Q29" i="2"/>
  <c r="N29" i="2"/>
  <c r="AL28" i="2"/>
  <c r="Z28" i="2"/>
  <c r="AB28" i="2" s="1"/>
  <c r="Y28" i="2"/>
  <c r="Q28" i="2"/>
  <c r="S28" i="2" s="1"/>
  <c r="F28" i="2" s="1"/>
  <c r="N28" i="2"/>
  <c r="AL8" i="2"/>
  <c r="Z8" i="2"/>
  <c r="AB8" i="2" s="1"/>
  <c r="Y8" i="2"/>
  <c r="Q8" i="2"/>
  <c r="N8" i="2"/>
  <c r="AL7" i="2"/>
  <c r="Z7" i="2"/>
  <c r="AB7" i="2" s="1"/>
  <c r="Y7" i="2"/>
  <c r="Q7" i="2"/>
  <c r="N7" i="2"/>
  <c r="AL5" i="2"/>
  <c r="Z5" i="2"/>
  <c r="Y5" i="2"/>
  <c r="Q5" i="2"/>
  <c r="S5" i="2" s="1"/>
  <c r="N5" i="2"/>
  <c r="AL4" i="2"/>
  <c r="Z4" i="2"/>
  <c r="AB4" i="2" s="1"/>
  <c r="Y4" i="2"/>
  <c r="Q4" i="2"/>
  <c r="N4" i="2"/>
  <c r="AL20" i="2"/>
  <c r="Z20" i="2"/>
  <c r="AB20" i="2" s="1"/>
  <c r="Y20" i="2"/>
  <c r="Q20" i="2"/>
  <c r="N20" i="2"/>
  <c r="AL19" i="2"/>
  <c r="Z19" i="2"/>
  <c r="Y19" i="2"/>
  <c r="Q19" i="2"/>
  <c r="N19" i="2"/>
  <c r="Z17" i="2"/>
  <c r="AB17" i="2" s="1"/>
  <c r="Z16" i="2"/>
  <c r="AB16" i="2" s="1"/>
  <c r="Y17" i="2"/>
  <c r="Y16" i="2"/>
  <c r="AL17" i="2"/>
  <c r="Q17" i="2"/>
  <c r="S17" i="2" s="1"/>
  <c r="N17" i="2"/>
  <c r="AL16" i="2"/>
  <c r="N16" i="2"/>
  <c r="Q16" i="2"/>
  <c r="H31" i="1"/>
  <c r="H30" i="1"/>
  <c r="AI36" i="1"/>
  <c r="Z36" i="1"/>
  <c r="AA36" i="1" s="1"/>
  <c r="V36" i="1"/>
  <c r="S36" i="1"/>
  <c r="T36" i="1" s="1"/>
  <c r="U36" i="1" s="1"/>
  <c r="H36" i="1"/>
  <c r="AI35" i="1"/>
  <c r="Z35" i="1"/>
  <c r="AA35" i="1" s="1"/>
  <c r="V35" i="1"/>
  <c r="S35" i="1"/>
  <c r="T35" i="1" s="1"/>
  <c r="H35" i="1"/>
  <c r="AA34" i="1"/>
  <c r="AB34" i="1" s="1"/>
  <c r="V34" i="1"/>
  <c r="S34" i="1"/>
  <c r="T34" i="1" s="1"/>
  <c r="H34" i="1"/>
  <c r="D29" i="1"/>
  <c r="V29" i="1" s="1"/>
  <c r="AI29" i="1"/>
  <c r="Z29" i="1"/>
  <c r="AA29" i="1" s="1"/>
  <c r="S29" i="1"/>
  <c r="T29" i="1" s="1"/>
  <c r="U29" i="1" s="1"/>
  <c r="H29" i="1"/>
  <c r="S30" i="1"/>
  <c r="T30" i="1" s="1"/>
  <c r="V30" i="1"/>
  <c r="Z30" i="1"/>
  <c r="AA30" i="1"/>
  <c r="AB30" i="1" s="1"/>
  <c r="AI30" i="1"/>
  <c r="AA23" i="1"/>
  <c r="AA31" i="1"/>
  <c r="Z28" i="1"/>
  <c r="AA28" i="1" s="1"/>
  <c r="Z26" i="1"/>
  <c r="AA26" i="1" s="1"/>
  <c r="Z25" i="1"/>
  <c r="AA25" i="1" s="1"/>
  <c r="Z24" i="1"/>
  <c r="AA24" i="1" s="1"/>
  <c r="Z8" i="1"/>
  <c r="AA8" i="1" s="1"/>
  <c r="Z7" i="1"/>
  <c r="AA7" i="1" s="1"/>
  <c r="S31" i="1"/>
  <c r="S28" i="1"/>
  <c r="S26" i="1"/>
  <c r="T26" i="1" s="1"/>
  <c r="S25" i="1"/>
  <c r="S24" i="1"/>
  <c r="S23" i="1"/>
  <c r="S8" i="1"/>
  <c r="S7" i="1"/>
  <c r="T7" i="1" s="1"/>
  <c r="V31" i="1"/>
  <c r="V28" i="1"/>
  <c r="H28" i="1"/>
  <c r="AI25" i="1"/>
  <c r="V25" i="1"/>
  <c r="H25" i="1"/>
  <c r="V26" i="1"/>
  <c r="H26" i="1"/>
  <c r="AI24" i="1"/>
  <c r="AI26" i="1" s="1"/>
  <c r="AI28" i="1" s="1"/>
  <c r="AI31" i="1" s="1"/>
  <c r="V24" i="1"/>
  <c r="H24" i="1"/>
  <c r="V23" i="1"/>
  <c r="T23" i="1"/>
  <c r="H23" i="1"/>
  <c r="V8" i="1"/>
  <c r="V7" i="1"/>
  <c r="V6" i="1"/>
  <c r="T6" i="1"/>
  <c r="E6" i="1"/>
  <c r="AI7" i="1"/>
  <c r="AI8" i="1" s="1"/>
  <c r="AH8" i="1"/>
  <c r="AH7" i="1"/>
  <c r="AH6" i="1"/>
  <c r="AA6" i="1"/>
  <c r="E8" i="1"/>
  <c r="E7" i="1"/>
  <c r="H8" i="1"/>
  <c r="I8" i="1" s="1"/>
  <c r="H7" i="1"/>
  <c r="H6" i="1"/>
  <c r="I6" i="1" s="1"/>
  <c r="G8" i="1"/>
  <c r="G7" i="1"/>
  <c r="G6" i="1"/>
  <c r="E21" i="3" l="1"/>
  <c r="G61" i="2"/>
  <c r="W61" i="2" s="1"/>
  <c r="AF55" i="2"/>
  <c r="V55" i="2"/>
  <c r="G55" i="2"/>
  <c r="W55" i="2" s="1"/>
  <c r="AI55" i="2"/>
  <c r="AA53" i="2"/>
  <c r="AC53" i="2" s="1"/>
  <c r="AD53" i="2" s="1"/>
  <c r="AE53" i="2" s="1"/>
  <c r="AA55" i="2"/>
  <c r="AC55" i="2" s="1"/>
  <c r="AD55" i="2" s="1"/>
  <c r="AE55" i="2" s="1"/>
  <c r="U53" i="2"/>
  <c r="AF53" i="2" s="1"/>
  <c r="S57" i="2"/>
  <c r="F57" i="2" s="1"/>
  <c r="G57" i="2" s="1"/>
  <c r="W57" i="2" s="1"/>
  <c r="F53" i="2"/>
  <c r="AA57" i="2"/>
  <c r="AC57" i="2" s="1"/>
  <c r="AD57" i="2" s="1"/>
  <c r="AE57" i="2" s="1"/>
  <c r="AC34" i="1"/>
  <c r="AA59" i="2"/>
  <c r="AC59" i="2" s="1"/>
  <c r="AD59" i="2" s="1"/>
  <c r="AE59" i="2" s="1"/>
  <c r="AA52" i="2"/>
  <c r="AC52" i="2" s="1"/>
  <c r="AD52" i="2" s="1"/>
  <c r="AE52" i="2" s="1"/>
  <c r="AA22" i="2"/>
  <c r="AC22" i="2" s="1"/>
  <c r="AD22" i="2" s="1"/>
  <c r="AE22" i="2" s="1"/>
  <c r="AA56" i="2"/>
  <c r="AC56" i="2" s="1"/>
  <c r="AD56" i="2" s="1"/>
  <c r="AE56" i="2" s="1"/>
  <c r="AA61" i="2"/>
  <c r="AC61" i="2" s="1"/>
  <c r="AD61" i="2" s="1"/>
  <c r="AE61" i="2" s="1"/>
  <c r="AA51" i="2"/>
  <c r="AC51" i="2" s="1"/>
  <c r="AD51" i="2" s="1"/>
  <c r="AE51" i="2" s="1"/>
  <c r="AF59" i="2"/>
  <c r="AA25" i="2"/>
  <c r="AC25" i="2" s="1"/>
  <c r="AD25" i="2" s="1"/>
  <c r="AE25" i="2" s="1"/>
  <c r="AA10" i="2"/>
  <c r="AC10" i="2" s="1"/>
  <c r="AD10" i="2" s="1"/>
  <c r="AE10" i="2" s="1"/>
  <c r="AA50" i="2"/>
  <c r="AC50" i="2" s="1"/>
  <c r="AD50" i="2" s="1"/>
  <c r="AE50" i="2" s="1"/>
  <c r="S52" i="2"/>
  <c r="F52" i="2" s="1"/>
  <c r="G52" i="2" s="1"/>
  <c r="W52" i="2" s="1"/>
  <c r="S54" i="2"/>
  <c r="F54" i="2" s="1"/>
  <c r="V54" i="2" s="1"/>
  <c r="AA60" i="2"/>
  <c r="AC60" i="2" s="1"/>
  <c r="AD60" i="2" s="1"/>
  <c r="AE60" i="2" s="1"/>
  <c r="S23" i="2"/>
  <c r="AF23" i="2" s="1"/>
  <c r="AI23" i="2" s="1"/>
  <c r="AF61" i="2"/>
  <c r="S60" i="2"/>
  <c r="AA23" i="2"/>
  <c r="AC23" i="2" s="1"/>
  <c r="AD23" i="2" s="1"/>
  <c r="AE23" i="2" s="1"/>
  <c r="S56" i="2"/>
  <c r="F56" i="2" s="1"/>
  <c r="G56" i="2" s="1"/>
  <c r="W56" i="2" s="1"/>
  <c r="S58" i="2"/>
  <c r="F58" i="2" s="1"/>
  <c r="S51" i="2"/>
  <c r="F51" i="2" s="1"/>
  <c r="G51" i="2" s="1"/>
  <c r="W51" i="2" s="1"/>
  <c r="AA54" i="2"/>
  <c r="AC54" i="2" s="1"/>
  <c r="AD54" i="2" s="1"/>
  <c r="AE54" i="2" s="1"/>
  <c r="AA58" i="2"/>
  <c r="AC58" i="2" s="1"/>
  <c r="AD58" i="2" s="1"/>
  <c r="AE58" i="2" s="1"/>
  <c r="V61" i="2"/>
  <c r="G59" i="2"/>
  <c r="W59" i="2" s="1"/>
  <c r="S50" i="2"/>
  <c r="F50" i="2" s="1"/>
  <c r="F64" i="2" s="1"/>
  <c r="S26" i="2"/>
  <c r="F26" i="2" s="1"/>
  <c r="S25" i="2"/>
  <c r="AA26" i="2"/>
  <c r="AC26" i="2" s="1"/>
  <c r="AD26" i="2" s="1"/>
  <c r="AE26" i="2" s="1"/>
  <c r="S22" i="2"/>
  <c r="AA35" i="2"/>
  <c r="AC35" i="2" s="1"/>
  <c r="AD35" i="2" s="1"/>
  <c r="AE35" i="2" s="1"/>
  <c r="AA11" i="2"/>
  <c r="AC11" i="2" s="1"/>
  <c r="AD11" i="2" s="1"/>
  <c r="AE11" i="2" s="1"/>
  <c r="AF11" i="2"/>
  <c r="AI11" i="2" s="1"/>
  <c r="AA19" i="2"/>
  <c r="AC19" i="2" s="1"/>
  <c r="S13" i="2"/>
  <c r="F13" i="2" s="1"/>
  <c r="G13" i="2" s="1"/>
  <c r="W13" i="2" s="1"/>
  <c r="G11" i="2"/>
  <c r="W11" i="2" s="1"/>
  <c r="V11" i="2"/>
  <c r="S10" i="2"/>
  <c r="F10" i="2" s="1"/>
  <c r="AA13" i="2"/>
  <c r="AC13" i="2" s="1"/>
  <c r="AD13" i="2" s="1"/>
  <c r="AE13" i="2" s="1"/>
  <c r="AA28" i="2"/>
  <c r="AC28" i="2" s="1"/>
  <c r="AD28" i="2" s="1"/>
  <c r="AE28" i="2" s="1"/>
  <c r="AA40" i="2"/>
  <c r="AC40" i="2" s="1"/>
  <c r="AD40" i="2" s="1"/>
  <c r="AE40" i="2" s="1"/>
  <c r="AA14" i="2"/>
  <c r="AC14" i="2" s="1"/>
  <c r="AD14" i="2" s="1"/>
  <c r="AE14" i="2" s="1"/>
  <c r="S14" i="2"/>
  <c r="F14" i="2" s="1"/>
  <c r="AA41" i="2"/>
  <c r="AC41" i="2" s="1"/>
  <c r="AD41" i="2" s="1"/>
  <c r="AE41" i="2" s="1"/>
  <c r="S38" i="2"/>
  <c r="F38" i="2" s="1"/>
  <c r="G38" i="2" s="1"/>
  <c r="W38" i="2" s="1"/>
  <c r="AA34" i="2"/>
  <c r="AC34" i="2" s="1"/>
  <c r="AD34" i="2" s="1"/>
  <c r="AE34" i="2" s="1"/>
  <c r="AA29" i="2"/>
  <c r="AC29" i="2" s="1"/>
  <c r="G40" i="2"/>
  <c r="W40" i="2" s="1"/>
  <c r="V40" i="2"/>
  <c r="AA43" i="2"/>
  <c r="AC43" i="2" s="1"/>
  <c r="AD43" i="2" s="1"/>
  <c r="AE43" i="2" s="1"/>
  <c r="AF40" i="2"/>
  <c r="S41" i="2"/>
  <c r="F41" i="2" s="1"/>
  <c r="AA44" i="2"/>
  <c r="AC44" i="2" s="1"/>
  <c r="AD44" i="2" s="1"/>
  <c r="AE44" i="2" s="1"/>
  <c r="S43" i="2"/>
  <c r="F43" i="2" s="1"/>
  <c r="S44" i="2"/>
  <c r="F44" i="2" s="1"/>
  <c r="S19" i="2"/>
  <c r="F19" i="2" s="1"/>
  <c r="G19" i="2" s="1"/>
  <c r="W19" i="2" s="1"/>
  <c r="AB29" i="2"/>
  <c r="AA5" i="2"/>
  <c r="AC5" i="2" s="1"/>
  <c r="F34" i="2"/>
  <c r="AF34" i="2"/>
  <c r="S35" i="2"/>
  <c r="F35" i="2" s="1"/>
  <c r="AA38" i="2"/>
  <c r="AC38" i="2" s="1"/>
  <c r="AD38" i="2" s="1"/>
  <c r="AE38" i="2" s="1"/>
  <c r="S37" i="2"/>
  <c r="F37" i="2" s="1"/>
  <c r="AA37" i="2"/>
  <c r="AC37" i="2" s="1"/>
  <c r="AD37" i="2" s="1"/>
  <c r="AE37" i="2" s="1"/>
  <c r="G28" i="2"/>
  <c r="W28" i="2" s="1"/>
  <c r="V28" i="2"/>
  <c r="G31" i="2"/>
  <c r="W31" i="2" s="1"/>
  <c r="V31" i="2"/>
  <c r="AA31" i="2"/>
  <c r="AC31" i="2" s="1"/>
  <c r="AD31" i="2" s="1"/>
  <c r="AE31" i="2" s="1"/>
  <c r="AF31" i="2"/>
  <c r="S32" i="2"/>
  <c r="F32" i="2" s="1"/>
  <c r="AF28" i="2"/>
  <c r="S29" i="2"/>
  <c r="F29" i="2" s="1"/>
  <c r="AA32" i="2"/>
  <c r="AC32" i="2" s="1"/>
  <c r="AD32" i="2" s="1"/>
  <c r="AE32" i="2" s="1"/>
  <c r="AB5" i="2"/>
  <c r="AA4" i="2"/>
  <c r="AC4" i="2" s="1"/>
  <c r="AD4" i="2" s="1"/>
  <c r="AE4" i="2" s="1"/>
  <c r="F5" i="2"/>
  <c r="S4" i="2"/>
  <c r="F4" i="2" s="1"/>
  <c r="AA7" i="2"/>
  <c r="AC7" i="2" s="1"/>
  <c r="AD7" i="2" s="1"/>
  <c r="AE7" i="2" s="1"/>
  <c r="AF5" i="2"/>
  <c r="S7" i="2"/>
  <c r="F7" i="2" s="1"/>
  <c r="S8" i="2"/>
  <c r="F8" i="2" s="1"/>
  <c r="AA8" i="2"/>
  <c r="AC8" i="2" s="1"/>
  <c r="AD8" i="2" s="1"/>
  <c r="AE8" i="2" s="1"/>
  <c r="AB19" i="2"/>
  <c r="AA20" i="2"/>
  <c r="AC20" i="2" s="1"/>
  <c r="AD20" i="2" s="1"/>
  <c r="AE20" i="2" s="1"/>
  <c r="S20" i="2"/>
  <c r="F20" i="2" s="1"/>
  <c r="AA17" i="2"/>
  <c r="AC17" i="2" s="1"/>
  <c r="AD17" i="2" s="1"/>
  <c r="AE17" i="2" s="1"/>
  <c r="AA16" i="2"/>
  <c r="AC16" i="2" s="1"/>
  <c r="AD16" i="2" s="1"/>
  <c r="AE16" i="2" s="1"/>
  <c r="F17" i="2"/>
  <c r="AF17" i="2"/>
  <c r="S16" i="2"/>
  <c r="AF16" i="2" s="1"/>
  <c r="AI16" i="2" s="1"/>
  <c r="AC30" i="1"/>
  <c r="AD30" i="1" s="1"/>
  <c r="W29" i="1"/>
  <c r="X36" i="1"/>
  <c r="AC36" i="1"/>
  <c r="AD36" i="1" s="1"/>
  <c r="AC35" i="1"/>
  <c r="W35" i="1"/>
  <c r="AE34" i="1"/>
  <c r="AB36" i="1"/>
  <c r="AD35" i="1"/>
  <c r="AB35" i="1"/>
  <c r="U34" i="1"/>
  <c r="X34" i="1" s="1"/>
  <c r="W34" i="1"/>
  <c r="AD34" i="1"/>
  <c r="U35" i="1"/>
  <c r="X35" i="1" s="1"/>
  <c r="W36" i="1"/>
  <c r="AC29" i="1"/>
  <c r="AD29" i="1" s="1"/>
  <c r="X29" i="1"/>
  <c r="W30" i="1"/>
  <c r="U30" i="1"/>
  <c r="X30" i="1" s="1"/>
  <c r="AB29" i="1"/>
  <c r="AC31" i="1"/>
  <c r="AD31" i="1" s="1"/>
  <c r="T25" i="1"/>
  <c r="W25" i="1" s="1"/>
  <c r="AC28" i="1"/>
  <c r="AD28" i="1" s="1"/>
  <c r="AB28" i="1"/>
  <c r="AB25" i="1"/>
  <c r="AC25" i="1"/>
  <c r="AC23" i="1"/>
  <c r="AD23" i="1" s="1"/>
  <c r="W23" i="1"/>
  <c r="T24" i="1"/>
  <c r="W24" i="1" s="1"/>
  <c r="AB23" i="1"/>
  <c r="AC24" i="1"/>
  <c r="AD24" i="1" s="1"/>
  <c r="AB24" i="1"/>
  <c r="AB31" i="1"/>
  <c r="U26" i="1"/>
  <c r="X26" i="1" s="1"/>
  <c r="W26" i="1"/>
  <c r="U23" i="1"/>
  <c r="X23" i="1" s="1"/>
  <c r="AC26" i="1"/>
  <c r="W6" i="1"/>
  <c r="AB6" i="1"/>
  <c r="T8" i="1"/>
  <c r="U8" i="1" s="1"/>
  <c r="X8" i="1" s="1"/>
  <c r="U6" i="1"/>
  <c r="X6" i="1" s="1"/>
  <c r="AC7" i="1"/>
  <c r="AD7" i="1" s="1"/>
  <c r="AC8" i="1"/>
  <c r="AJ8" i="1" s="1"/>
  <c r="AC6" i="1"/>
  <c r="AB8" i="1"/>
  <c r="AB7" i="1"/>
  <c r="W7" i="1"/>
  <c r="U7" i="1"/>
  <c r="X7" i="1" s="1"/>
  <c r="J6" i="1"/>
  <c r="J8" i="1"/>
  <c r="J7" i="1"/>
  <c r="I7" i="1"/>
  <c r="AM55" i="2" l="1"/>
  <c r="AN55" i="2" s="1"/>
  <c r="AJ55" i="2"/>
  <c r="AG55" i="2"/>
  <c r="V57" i="2"/>
  <c r="AF57" i="2"/>
  <c r="AI57" i="2" s="1"/>
  <c r="AJ57" i="2" s="1"/>
  <c r="AI53" i="2"/>
  <c r="AM53" i="2" s="1"/>
  <c r="AN53" i="2" s="1"/>
  <c r="AM57" i="2"/>
  <c r="AN57" i="2" s="1"/>
  <c r="AG53" i="2"/>
  <c r="G53" i="2"/>
  <c r="W53" i="2" s="1"/>
  <c r="V53" i="2"/>
  <c r="AE30" i="1"/>
  <c r="G54" i="2"/>
  <c r="W54" i="2" s="1"/>
  <c r="AG59" i="2"/>
  <c r="AJ11" i="2"/>
  <c r="AF54" i="2"/>
  <c r="AI54" i="2" s="1"/>
  <c r="AJ54" i="2" s="1"/>
  <c r="AF52" i="2"/>
  <c r="AG52" i="2" s="1"/>
  <c r="AF58" i="2"/>
  <c r="AI58" i="2" s="1"/>
  <c r="AJ58" i="2" s="1"/>
  <c r="V52" i="2"/>
  <c r="AF56" i="2"/>
  <c r="V56" i="2"/>
  <c r="AI61" i="2"/>
  <c r="AM61" i="2" s="1"/>
  <c r="AN61" i="2" s="1"/>
  <c r="AF60" i="2"/>
  <c r="AG60" i="2" s="1"/>
  <c r="F60" i="2"/>
  <c r="AM23" i="2"/>
  <c r="AN23" i="2" s="1"/>
  <c r="G58" i="2"/>
  <c r="W58" i="2" s="1"/>
  <c r="V58" i="2"/>
  <c r="AI59" i="2"/>
  <c r="AJ59" i="2" s="1"/>
  <c r="V51" i="2"/>
  <c r="F23" i="2"/>
  <c r="V23" i="2" s="1"/>
  <c r="AF51" i="2"/>
  <c r="AG51" i="2" s="1"/>
  <c r="G50" i="2"/>
  <c r="V50" i="2"/>
  <c r="AF50" i="2"/>
  <c r="AG61" i="2"/>
  <c r="G26" i="2"/>
  <c r="W26" i="2" s="1"/>
  <c r="V26" i="2"/>
  <c r="AF13" i="2"/>
  <c r="AG13" i="2" s="1"/>
  <c r="V13" i="2"/>
  <c r="AD19" i="2"/>
  <c r="AE19" i="2" s="1"/>
  <c r="AF22" i="2"/>
  <c r="F22" i="2"/>
  <c r="AF26" i="2"/>
  <c r="AJ23" i="2"/>
  <c r="AG23" i="2"/>
  <c r="AF19" i="2"/>
  <c r="AI19" i="2" s="1"/>
  <c r="AM19" i="2" s="1"/>
  <c r="AN19" i="2" s="1"/>
  <c r="AF25" i="2"/>
  <c r="AG25" i="2" s="1"/>
  <c r="F25" i="2"/>
  <c r="AD29" i="2"/>
  <c r="AE29" i="2" s="1"/>
  <c r="AF43" i="2"/>
  <c r="AI43" i="2" s="1"/>
  <c r="AJ43" i="2" s="1"/>
  <c r="AF20" i="2"/>
  <c r="AI20" i="2" s="1"/>
  <c r="AJ20" i="2" s="1"/>
  <c r="AM11" i="2"/>
  <c r="AN11" i="2" s="1"/>
  <c r="V14" i="2"/>
  <c r="G14" i="2"/>
  <c r="W14" i="2" s="1"/>
  <c r="V10" i="2"/>
  <c r="G10" i="2"/>
  <c r="W10" i="2" s="1"/>
  <c r="AF14" i="2"/>
  <c r="AG14" i="2" s="1"/>
  <c r="AF10" i="2"/>
  <c r="AG10" i="2" s="1"/>
  <c r="AG11" i="2"/>
  <c r="V19" i="2"/>
  <c r="AF38" i="2"/>
  <c r="AI38" i="2" s="1"/>
  <c r="AJ38" i="2" s="1"/>
  <c r="V38" i="2"/>
  <c r="AD5" i="2"/>
  <c r="AE5" i="2" s="1"/>
  <c r="AG5" i="2" s="1"/>
  <c r="AF44" i="2"/>
  <c r="AG44" i="2" s="1"/>
  <c r="AI40" i="2"/>
  <c r="AJ40" i="2" s="1"/>
  <c r="AG40" i="2"/>
  <c r="G41" i="2"/>
  <c r="W41" i="2" s="1"/>
  <c r="V41" i="2"/>
  <c r="AF41" i="2"/>
  <c r="V44" i="2"/>
  <c r="G44" i="2"/>
  <c r="W44" i="2" s="1"/>
  <c r="G43" i="2"/>
  <c r="W43" i="2" s="1"/>
  <c r="V43" i="2"/>
  <c r="AF4" i="2"/>
  <c r="AG4" i="2" s="1"/>
  <c r="AF29" i="2"/>
  <c r="AI29" i="2" s="1"/>
  <c r="AI34" i="2"/>
  <c r="AJ34" i="2" s="1"/>
  <c r="AG34" i="2"/>
  <c r="G37" i="2"/>
  <c r="W37" i="2" s="1"/>
  <c r="V37" i="2"/>
  <c r="AF35" i="2"/>
  <c r="V35" i="2"/>
  <c r="G35" i="2"/>
  <c r="W35" i="2" s="1"/>
  <c r="AF37" i="2"/>
  <c r="G34" i="2"/>
  <c r="W34" i="2" s="1"/>
  <c r="V34" i="2"/>
  <c r="AI31" i="2"/>
  <c r="AM31" i="2" s="1"/>
  <c r="AN31" i="2" s="1"/>
  <c r="AG31" i="2"/>
  <c r="AI28" i="2"/>
  <c r="AM28" i="2" s="1"/>
  <c r="AN28" i="2" s="1"/>
  <c r="V32" i="2"/>
  <c r="G32" i="2"/>
  <c r="W32" i="2" s="1"/>
  <c r="AF32" i="2"/>
  <c r="AG28" i="2"/>
  <c r="G29" i="2"/>
  <c r="W29" i="2" s="1"/>
  <c r="V29" i="2"/>
  <c r="AI5" i="2"/>
  <c r="AM5" i="2" s="1"/>
  <c r="AN5" i="2" s="1"/>
  <c r="V8" i="2"/>
  <c r="G8" i="2"/>
  <c r="W8" i="2" s="1"/>
  <c r="G7" i="2"/>
  <c r="W7" i="2" s="1"/>
  <c r="V7" i="2"/>
  <c r="AF8" i="2"/>
  <c r="G4" i="2"/>
  <c r="W4" i="2" s="1"/>
  <c r="V4" i="2"/>
  <c r="G5" i="2"/>
  <c r="W5" i="2" s="1"/>
  <c r="V5" i="2"/>
  <c r="AF7" i="2"/>
  <c r="V20" i="2"/>
  <c r="G20" i="2"/>
  <c r="W20" i="2" s="1"/>
  <c r="AG16" i="2"/>
  <c r="AM16" i="2"/>
  <c r="AN16" i="2" s="1"/>
  <c r="AI17" i="2"/>
  <c r="AJ17" i="2" s="1"/>
  <c r="AG17" i="2"/>
  <c r="G17" i="2"/>
  <c r="W17" i="2" s="1"/>
  <c r="V17" i="2"/>
  <c r="F16" i="2"/>
  <c r="P30" i="1"/>
  <c r="O30" i="1" s="1"/>
  <c r="M30" i="1" s="1"/>
  <c r="AE36" i="1"/>
  <c r="P36" i="1" s="1"/>
  <c r="AE31" i="1"/>
  <c r="U25" i="1"/>
  <c r="X25" i="1" s="1"/>
  <c r="AE29" i="1"/>
  <c r="P29" i="1" s="1"/>
  <c r="O29" i="1" s="1"/>
  <c r="M29" i="1" s="1"/>
  <c r="P34" i="1"/>
  <c r="AE35" i="1"/>
  <c r="P35" i="1" s="1"/>
  <c r="O36" i="1"/>
  <c r="M36" i="1" s="1"/>
  <c r="O34" i="1"/>
  <c r="M34" i="1" s="1"/>
  <c r="AE25" i="1"/>
  <c r="T28" i="1"/>
  <c r="T31" i="1"/>
  <c r="AE28" i="1"/>
  <c r="AD25" i="1"/>
  <c r="U24" i="1"/>
  <c r="X24" i="1" s="1"/>
  <c r="AE24" i="1"/>
  <c r="AE23" i="1"/>
  <c r="P23" i="1" s="1"/>
  <c r="AB26" i="1"/>
  <c r="AE26" i="1" s="1"/>
  <c r="P26" i="1" s="1"/>
  <c r="AD26" i="1"/>
  <c r="AJ7" i="1"/>
  <c r="AD8" i="1"/>
  <c r="AD6" i="1"/>
  <c r="AJ6" i="1"/>
  <c r="W8" i="1"/>
  <c r="AE7" i="1"/>
  <c r="P7" i="1" s="1"/>
  <c r="Q7" i="1" s="1"/>
  <c r="AE8" i="1"/>
  <c r="P8" i="1" s="1"/>
  <c r="Q8" i="1" s="1"/>
  <c r="AE6" i="1"/>
  <c r="P6" i="1" s="1"/>
  <c r="Q6" i="1" s="1"/>
  <c r="AP55" i="2" l="1"/>
  <c r="AQ55" i="2" s="1"/>
  <c r="AJ53" i="2"/>
  <c r="AG57" i="2"/>
  <c r="AP57" i="2"/>
  <c r="AP53" i="2"/>
  <c r="W50" i="2"/>
  <c r="G64" i="2"/>
  <c r="P25" i="1"/>
  <c r="G23" i="2"/>
  <c r="W23" i="2" s="1"/>
  <c r="AG54" i="2"/>
  <c r="AJ61" i="2"/>
  <c r="AP61" i="2" s="1"/>
  <c r="B61" i="2" s="1"/>
  <c r="X61" i="2" s="1"/>
  <c r="AI52" i="2"/>
  <c r="AJ52" i="2" s="1"/>
  <c r="AG19" i="2"/>
  <c r="AG58" i="2"/>
  <c r="AI56" i="2"/>
  <c r="AG56" i="2"/>
  <c r="AI13" i="2"/>
  <c r="AJ13" i="2" s="1"/>
  <c r="AM58" i="2"/>
  <c r="AN58" i="2" s="1"/>
  <c r="AM54" i="2"/>
  <c r="AN54" i="2" s="1"/>
  <c r="AI51" i="2"/>
  <c r="AJ51" i="2" s="1"/>
  <c r="AP23" i="2"/>
  <c r="AQ23" i="2" s="1"/>
  <c r="AP11" i="2"/>
  <c r="B11" i="2" s="1"/>
  <c r="AM59" i="2"/>
  <c r="AN59" i="2" s="1"/>
  <c r="AP59" i="2" s="1"/>
  <c r="G60" i="2"/>
  <c r="W60" i="2" s="1"/>
  <c r="V60" i="2"/>
  <c r="AI60" i="2"/>
  <c r="AJ60" i="2" s="1"/>
  <c r="AI50" i="2"/>
  <c r="AJ50" i="2" s="1"/>
  <c r="AG50" i="2"/>
  <c r="AJ19" i="2"/>
  <c r="AI26" i="2"/>
  <c r="AJ26" i="2" s="1"/>
  <c r="AG26" i="2"/>
  <c r="AI22" i="2"/>
  <c r="AJ22" i="2" s="1"/>
  <c r="G25" i="2"/>
  <c r="W25" i="2" s="1"/>
  <c r="V25" i="2"/>
  <c r="AM20" i="2"/>
  <c r="AN20" i="2" s="1"/>
  <c r="AI25" i="2"/>
  <c r="AJ25" i="2" s="1"/>
  <c r="AG22" i="2"/>
  <c r="G22" i="2"/>
  <c r="W22" i="2" s="1"/>
  <c r="V22" i="2"/>
  <c r="AG38" i="2"/>
  <c r="AJ29" i="2"/>
  <c r="AJ31" i="2"/>
  <c r="AP31" i="2" s="1"/>
  <c r="AM43" i="2"/>
  <c r="AN43" i="2" s="1"/>
  <c r="AG43" i="2"/>
  <c r="AG20" i="2"/>
  <c r="AM38" i="2"/>
  <c r="AN38" i="2" s="1"/>
  <c r="AI44" i="2"/>
  <c r="AM44" i="2" s="1"/>
  <c r="AN44" i="2" s="1"/>
  <c r="AI10" i="2"/>
  <c r="AJ10" i="2" s="1"/>
  <c r="AI14" i="2"/>
  <c r="AJ14" i="2" s="1"/>
  <c r="AG29" i="2"/>
  <c r="AI4" i="2"/>
  <c r="AJ4" i="2" s="1"/>
  <c r="AI41" i="2"/>
  <c r="AJ41" i="2" s="1"/>
  <c r="AG41" i="2"/>
  <c r="AM40" i="2"/>
  <c r="AN40" i="2" s="1"/>
  <c r="AP40" i="2" s="1"/>
  <c r="AM29" i="2"/>
  <c r="AN29" i="2" s="1"/>
  <c r="AI35" i="2"/>
  <c r="AJ35" i="2" s="1"/>
  <c r="AI37" i="2"/>
  <c r="AJ37" i="2" s="1"/>
  <c r="AG37" i="2"/>
  <c r="AG35" i="2"/>
  <c r="AM34" i="2"/>
  <c r="AN34" i="2" s="1"/>
  <c r="AP34" i="2" s="1"/>
  <c r="AJ28" i="2"/>
  <c r="AP28" i="2" s="1"/>
  <c r="AI32" i="2"/>
  <c r="AJ32" i="2" s="1"/>
  <c r="AG32" i="2"/>
  <c r="AI8" i="2"/>
  <c r="AJ8" i="2" s="1"/>
  <c r="AI7" i="2"/>
  <c r="AJ7" i="2" s="1"/>
  <c r="AG8" i="2"/>
  <c r="AG7" i="2"/>
  <c r="AJ5" i="2"/>
  <c r="AP5" i="2" s="1"/>
  <c r="AM17" i="2"/>
  <c r="AN17" i="2" s="1"/>
  <c r="AP17" i="2" s="1"/>
  <c r="AJ16" i="2"/>
  <c r="AP16" i="2" s="1"/>
  <c r="G16" i="2"/>
  <c r="W16" i="2" s="1"/>
  <c r="V16" i="2"/>
  <c r="O35" i="1"/>
  <c r="M35" i="1" s="1"/>
  <c r="F34" i="1"/>
  <c r="N34" i="1"/>
  <c r="G34" i="1" s="1"/>
  <c r="J34" i="1" s="1"/>
  <c r="Q34" i="1" s="1"/>
  <c r="L34" i="1"/>
  <c r="E34" i="1" s="1"/>
  <c r="N36" i="1"/>
  <c r="G36" i="1" s="1"/>
  <c r="J36" i="1" s="1"/>
  <c r="Q36" i="1" s="1"/>
  <c r="L36" i="1"/>
  <c r="E36" i="1" s="1"/>
  <c r="F36" i="1"/>
  <c r="F29" i="1"/>
  <c r="N29" i="1"/>
  <c r="G29" i="1" s="1"/>
  <c r="J29" i="1" s="1"/>
  <c r="Q29" i="1" s="1"/>
  <c r="L29" i="1"/>
  <c r="E29" i="1" s="1"/>
  <c r="N30" i="1"/>
  <c r="G30" i="1" s="1"/>
  <c r="J30" i="1" s="1"/>
  <c r="Q30" i="1" s="1"/>
  <c r="L30" i="1"/>
  <c r="E30" i="1" s="1"/>
  <c r="F30" i="1"/>
  <c r="U31" i="1"/>
  <c r="X31" i="1" s="1"/>
  <c r="P31" i="1" s="1"/>
  <c r="O31" i="1" s="1"/>
  <c r="M31" i="1" s="1"/>
  <c r="F31" i="1" s="1"/>
  <c r="W31" i="1"/>
  <c r="W28" i="1"/>
  <c r="U28" i="1"/>
  <c r="X28" i="1" s="1"/>
  <c r="P28" i="1" s="1"/>
  <c r="O28" i="1" s="1"/>
  <c r="M28" i="1" s="1"/>
  <c r="P24" i="1"/>
  <c r="O25" i="1"/>
  <c r="M25" i="1" s="1"/>
  <c r="F25" i="1" s="1"/>
  <c r="O24" i="1"/>
  <c r="M24" i="1" s="1"/>
  <c r="O23" i="1"/>
  <c r="M23" i="1" s="1"/>
  <c r="F23" i="1" s="1"/>
  <c r="O26" i="1"/>
  <c r="M26" i="1" s="1"/>
  <c r="F26" i="1" s="1"/>
  <c r="O8" i="1"/>
  <c r="M8" i="1" s="1"/>
  <c r="O7" i="1"/>
  <c r="M7" i="1" s="1"/>
  <c r="O6" i="1"/>
  <c r="M6" i="1" s="1"/>
  <c r="B55" i="2" l="1"/>
  <c r="X55" i="2" s="1"/>
  <c r="B53" i="2"/>
  <c r="X53" i="2" s="1"/>
  <c r="AQ53" i="2"/>
  <c r="AQ57" i="2"/>
  <c r="B57" i="2"/>
  <c r="X57" i="2" s="1"/>
  <c r="AM13" i="2"/>
  <c r="AN13" i="2" s="1"/>
  <c r="AP13" i="2" s="1"/>
  <c r="B13" i="2" s="1"/>
  <c r="AP54" i="2"/>
  <c r="B54" i="2" s="1"/>
  <c r="X54" i="2" s="1"/>
  <c r="AM51" i="2"/>
  <c r="AN51" i="2" s="1"/>
  <c r="AP51" i="2" s="1"/>
  <c r="B51" i="2" s="1"/>
  <c r="X51" i="2" s="1"/>
  <c r="AM52" i="2"/>
  <c r="AN52" i="2" s="1"/>
  <c r="AP52" i="2" s="1"/>
  <c r="AQ52" i="2" s="1"/>
  <c r="AP19" i="2"/>
  <c r="AQ19" i="2" s="1"/>
  <c r="AP58" i="2"/>
  <c r="B58" i="2" s="1"/>
  <c r="X58" i="2" s="1"/>
  <c r="AM50" i="2"/>
  <c r="AN50" i="2" s="1"/>
  <c r="AP50" i="2" s="1"/>
  <c r="B50" i="2" s="1"/>
  <c r="AQ61" i="2"/>
  <c r="AJ56" i="2"/>
  <c r="AM56" i="2"/>
  <c r="AN56" i="2" s="1"/>
  <c r="AP38" i="2"/>
  <c r="B38" i="2" s="1"/>
  <c r="AM25" i="2"/>
  <c r="AN25" i="2" s="1"/>
  <c r="AP25" i="2" s="1"/>
  <c r="B25" i="2" s="1"/>
  <c r="AM60" i="2"/>
  <c r="AN60" i="2" s="1"/>
  <c r="AP60" i="2" s="1"/>
  <c r="B60" i="2" s="1"/>
  <c r="X60" i="2" s="1"/>
  <c r="B23" i="2"/>
  <c r="AQ11" i="2"/>
  <c r="AP20" i="2"/>
  <c r="B20" i="2" s="1"/>
  <c r="B59" i="2"/>
  <c r="X59" i="2" s="1"/>
  <c r="AQ59" i="2"/>
  <c r="AP43" i="2"/>
  <c r="B43" i="2" s="1"/>
  <c r="AM22" i="2"/>
  <c r="AN22" i="2" s="1"/>
  <c r="AP22" i="2" s="1"/>
  <c r="AJ44" i="2"/>
  <c r="AP44" i="2" s="1"/>
  <c r="AQ44" i="2" s="1"/>
  <c r="AM26" i="2"/>
  <c r="AN26" i="2" s="1"/>
  <c r="AP26" i="2" s="1"/>
  <c r="AM4" i="2"/>
  <c r="AN4" i="2" s="1"/>
  <c r="AP4" i="2" s="1"/>
  <c r="AQ4" i="2" s="1"/>
  <c r="AM10" i="2"/>
  <c r="AN10" i="2" s="1"/>
  <c r="AP10" i="2" s="1"/>
  <c r="B10" i="2" s="1"/>
  <c r="AP29" i="2"/>
  <c r="AQ29" i="2" s="1"/>
  <c r="AM14" i="2"/>
  <c r="AN14" i="2" s="1"/>
  <c r="AP14" i="2" s="1"/>
  <c r="AM7" i="2"/>
  <c r="AN7" i="2" s="1"/>
  <c r="AP7" i="2" s="1"/>
  <c r="AQ7" i="2" s="1"/>
  <c r="AM32" i="2"/>
  <c r="AN32" i="2" s="1"/>
  <c r="AP32" i="2" s="1"/>
  <c r="AQ32" i="2" s="1"/>
  <c r="AM41" i="2"/>
  <c r="AN41" i="2" s="1"/>
  <c r="AP41" i="2" s="1"/>
  <c r="AM8" i="2"/>
  <c r="AN8" i="2" s="1"/>
  <c r="AP8" i="2" s="1"/>
  <c r="AQ8" i="2" s="1"/>
  <c r="B40" i="2"/>
  <c r="AQ40" i="2"/>
  <c r="AM37" i="2"/>
  <c r="AN37" i="2" s="1"/>
  <c r="AP37" i="2" s="1"/>
  <c r="B34" i="2"/>
  <c r="AQ34" i="2"/>
  <c r="AM35" i="2"/>
  <c r="AN35" i="2" s="1"/>
  <c r="AP35" i="2" s="1"/>
  <c r="B31" i="2"/>
  <c r="AQ31" i="2"/>
  <c r="B28" i="2"/>
  <c r="AQ28" i="2"/>
  <c r="B5" i="2"/>
  <c r="AQ5" i="2"/>
  <c r="AQ16" i="2"/>
  <c r="B16" i="2"/>
  <c r="AQ17" i="2"/>
  <c r="B17" i="2"/>
  <c r="I34" i="1"/>
  <c r="AH34" i="1"/>
  <c r="AJ34" i="1" s="1"/>
  <c r="N35" i="1"/>
  <c r="G35" i="1" s="1"/>
  <c r="J35" i="1" s="1"/>
  <c r="Q35" i="1" s="1"/>
  <c r="L35" i="1"/>
  <c r="E35" i="1" s="1"/>
  <c r="F35" i="1"/>
  <c r="I36" i="1"/>
  <c r="AH36" i="1"/>
  <c r="AJ36" i="1" s="1"/>
  <c r="AH29" i="1"/>
  <c r="AJ29" i="1" s="1"/>
  <c r="I29" i="1"/>
  <c r="AH30" i="1"/>
  <c r="AJ30" i="1" s="1"/>
  <c r="I30" i="1"/>
  <c r="L31" i="1"/>
  <c r="E31" i="1" s="1"/>
  <c r="N31" i="1"/>
  <c r="G31" i="1" s="1"/>
  <c r="J31" i="1" s="1"/>
  <c r="Q31" i="1" s="1"/>
  <c r="AH31" i="1"/>
  <c r="AJ31" i="1" s="1"/>
  <c r="I31" i="1"/>
  <c r="F28" i="1"/>
  <c r="N28" i="1"/>
  <c r="G28" i="1" s="1"/>
  <c r="J28" i="1" s="1"/>
  <c r="Q28" i="1" s="1"/>
  <c r="L28" i="1"/>
  <c r="E28" i="1" s="1"/>
  <c r="AH25" i="1"/>
  <c r="AJ25" i="1" s="1"/>
  <c r="I25" i="1"/>
  <c r="AH26" i="1"/>
  <c r="AJ26" i="1" s="1"/>
  <c r="I26" i="1"/>
  <c r="AH23" i="1"/>
  <c r="AJ23" i="1" s="1"/>
  <c r="I23" i="1"/>
  <c r="N24" i="1"/>
  <c r="G24" i="1" s="1"/>
  <c r="J24" i="1" s="1"/>
  <c r="Q24" i="1" s="1"/>
  <c r="F24" i="1"/>
  <c r="L24" i="1"/>
  <c r="E24" i="1" s="1"/>
  <c r="L23" i="1"/>
  <c r="E23" i="1" s="1"/>
  <c r="N23" i="1"/>
  <c r="G23" i="1" s="1"/>
  <c r="J23" i="1" s="1"/>
  <c r="Q23" i="1" s="1"/>
  <c r="N25" i="1"/>
  <c r="G25" i="1" s="1"/>
  <c r="J25" i="1" s="1"/>
  <c r="Q25" i="1" s="1"/>
  <c r="L25" i="1"/>
  <c r="E25" i="1" s="1"/>
  <c r="N6" i="1"/>
  <c r="L6" i="1"/>
  <c r="N7" i="1"/>
  <c r="L7" i="1"/>
  <c r="L8" i="1"/>
  <c r="N8" i="1"/>
  <c r="L26" i="1"/>
  <c r="E26" i="1" s="1"/>
  <c r="N26" i="1"/>
  <c r="G26" i="1" s="1"/>
  <c r="J26" i="1" s="1"/>
  <c r="Q26" i="1" s="1"/>
  <c r="C61" i="2" l="1"/>
  <c r="X50" i="2"/>
  <c r="C55" i="2"/>
  <c r="C57" i="2"/>
  <c r="C53" i="2"/>
  <c r="AQ13" i="2"/>
  <c r="C60" i="2"/>
  <c r="C58" i="2"/>
  <c r="C51" i="2"/>
  <c r="C59" i="2"/>
  <c r="C54" i="2"/>
  <c r="B19" i="2"/>
  <c r="C31" i="2" s="1"/>
  <c r="AQ54" i="2"/>
  <c r="B52" i="2"/>
  <c r="AQ51" i="2"/>
  <c r="AQ58" i="2"/>
  <c r="AQ20" i="2"/>
  <c r="C34" i="2"/>
  <c r="B4" i="2"/>
  <c r="C5" i="2" s="1"/>
  <c r="AQ38" i="2"/>
  <c r="C17" i="2"/>
  <c r="B29" i="2"/>
  <c r="C29" i="2" s="1"/>
  <c r="AQ50" i="2"/>
  <c r="AP56" i="2"/>
  <c r="AQ60" i="2"/>
  <c r="AQ25" i="2"/>
  <c r="C23" i="2"/>
  <c r="C11" i="2"/>
  <c r="C28" i="2"/>
  <c r="AQ43" i="2"/>
  <c r="C40" i="2"/>
  <c r="C38" i="2"/>
  <c r="AQ26" i="2"/>
  <c r="B26" i="2"/>
  <c r="C26" i="2" s="1"/>
  <c r="B22" i="2"/>
  <c r="C22" i="2" s="1"/>
  <c r="AQ22" i="2"/>
  <c r="B44" i="2"/>
  <c r="C44" i="2" s="1"/>
  <c r="AQ10" i="2"/>
  <c r="AQ14" i="2"/>
  <c r="B14" i="2"/>
  <c r="B7" i="2"/>
  <c r="B41" i="2"/>
  <c r="C41" i="2" s="1"/>
  <c r="AQ41" i="2"/>
  <c r="B32" i="2"/>
  <c r="C32" i="2" s="1"/>
  <c r="AQ37" i="2"/>
  <c r="B37" i="2"/>
  <c r="B8" i="2"/>
  <c r="B35" i="2"/>
  <c r="C35" i="2" s="1"/>
  <c r="AQ35" i="2"/>
  <c r="AH35" i="1"/>
  <c r="AJ35" i="1" s="1"/>
  <c r="I35" i="1"/>
  <c r="AH28" i="1"/>
  <c r="AJ28" i="1" s="1"/>
  <c r="I28" i="1"/>
  <c r="AH24" i="1"/>
  <c r="AJ24" i="1" s="1"/>
  <c r="I24" i="1"/>
  <c r="C52" i="2" l="1"/>
  <c r="X52" i="2"/>
  <c r="C25" i="2"/>
  <c r="C37" i="2"/>
  <c r="C43" i="2"/>
  <c r="C7" i="2"/>
  <c r="C16" i="2"/>
  <c r="C10" i="2"/>
  <c r="B56" i="2"/>
  <c r="AQ56" i="2"/>
  <c r="C8" i="2"/>
  <c r="C20" i="2"/>
  <c r="C14" i="2"/>
  <c r="C19" i="2"/>
  <c r="C13" i="2"/>
  <c r="C56" i="2" l="1"/>
  <c r="X56" i="2"/>
</calcChain>
</file>

<file path=xl/sharedStrings.xml><?xml version="1.0" encoding="utf-8"?>
<sst xmlns="http://schemas.openxmlformats.org/spreadsheetml/2006/main" count="394" uniqueCount="154">
  <si>
    <t>Pitch</t>
  </si>
  <si>
    <t>Area</t>
  </si>
  <si>
    <t>Technology</t>
  </si>
  <si>
    <r>
      <t>ρ</t>
    </r>
    <r>
      <rPr>
        <vertAlign val="subscript"/>
        <sz val="12"/>
        <color theme="1"/>
        <rFont val="Calibri (Body)"/>
      </rPr>
      <t>θ</t>
    </r>
  </si>
  <si>
    <r>
      <t>κ</t>
    </r>
    <r>
      <rPr>
        <vertAlign val="subscript"/>
        <sz val="12"/>
        <color theme="1"/>
        <rFont val="Calibri (Body)"/>
      </rPr>
      <t>θ</t>
    </r>
  </si>
  <si>
    <r>
      <t>R</t>
    </r>
    <r>
      <rPr>
        <vertAlign val="subscript"/>
        <sz val="12"/>
        <color theme="1"/>
        <rFont val="Calibri (Body)"/>
      </rPr>
      <t>θ</t>
    </r>
  </si>
  <si>
    <r>
      <t>S</t>
    </r>
    <r>
      <rPr>
        <vertAlign val="subscript"/>
        <sz val="12"/>
        <color theme="1"/>
        <rFont val="Calibri (Body)"/>
      </rPr>
      <t>θ</t>
    </r>
  </si>
  <si>
    <r>
      <t>°C·mm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/W</t>
    </r>
  </si>
  <si>
    <r>
      <t>W/(°C·mm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</si>
  <si>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µm</t>
  </si>
  <si>
    <r>
      <t>µm</t>
    </r>
    <r>
      <rPr>
        <vertAlign val="superscript"/>
        <sz val="12"/>
        <color theme="1"/>
        <rFont val="Calibri (Body)"/>
      </rPr>
      <t>2</t>
    </r>
  </si>
  <si>
    <t>°C/W</t>
  </si>
  <si>
    <t>W/°C</t>
  </si>
  <si>
    <t>Diameter</t>
  </si>
  <si>
    <t>µB</t>
  </si>
  <si>
    <t>underfill</t>
  </si>
  <si>
    <t>Model</t>
  </si>
  <si>
    <t>Error</t>
  </si>
  <si>
    <t>%</t>
  </si>
  <si>
    <t>K</t>
  </si>
  <si>
    <r>
      <t>W/°C·mm</t>
    </r>
    <r>
      <rPr>
        <vertAlign val="superscript"/>
        <sz val="12"/>
        <color theme="1"/>
        <rFont val="Calibri (Body)"/>
      </rPr>
      <t>2</t>
    </r>
  </si>
  <si>
    <t>W/°C·m</t>
  </si>
  <si>
    <t>(S1-Su)·U</t>
  </si>
  <si>
    <r>
      <t>κ</t>
    </r>
    <r>
      <rPr>
        <vertAlign val="subscript"/>
        <sz val="12"/>
        <color theme="1"/>
        <rFont val="Calibri (Body)"/>
      </rPr>
      <t>θ,tech</t>
    </r>
  </si>
  <si>
    <r>
      <t>S</t>
    </r>
    <r>
      <rPr>
        <vertAlign val="subscript"/>
        <sz val="12"/>
        <color theme="1"/>
        <rFont val="Calibri (Body)"/>
      </rPr>
      <t>UF</t>
    </r>
  </si>
  <si>
    <r>
      <t>κ</t>
    </r>
    <r>
      <rPr>
        <vertAlign val="subscript"/>
        <sz val="12"/>
        <color theme="1"/>
        <rFont val="Calibri (Body)"/>
      </rPr>
      <t>θ,UF</t>
    </r>
  </si>
  <si>
    <t>provided</t>
  </si>
  <si>
    <r>
      <t>t</t>
    </r>
    <r>
      <rPr>
        <vertAlign val="subscript"/>
        <sz val="12"/>
        <color theme="1"/>
        <rFont val="Calibri (Body)"/>
      </rPr>
      <t>µB</t>
    </r>
  </si>
  <si>
    <r>
      <t>t</t>
    </r>
    <r>
      <rPr>
        <vertAlign val="subscript"/>
        <sz val="12"/>
        <color theme="1"/>
        <rFont val="Calibri (Body)"/>
      </rPr>
      <t>µB</t>
    </r>
    <r>
      <rPr>
        <sz val="12"/>
        <color theme="1"/>
        <rFont val="Calibri"/>
        <family val="2"/>
        <scheme val="minor"/>
      </rPr>
      <t>/ρ</t>
    </r>
    <r>
      <rPr>
        <vertAlign val="subscript"/>
        <sz val="12"/>
        <color theme="1"/>
        <rFont val="Calibri (Body)"/>
      </rPr>
      <t>θ</t>
    </r>
  </si>
  <si>
    <r>
      <t>1/ρ</t>
    </r>
    <r>
      <rPr>
        <vertAlign val="subscript"/>
        <sz val="12"/>
        <color theme="1"/>
        <rFont val="Calibri (Body)"/>
      </rPr>
      <t>θ</t>
    </r>
  </si>
  <si>
    <r>
      <t>Pitch</t>
    </r>
    <r>
      <rPr>
        <vertAlign val="superscript"/>
        <sz val="12"/>
        <color theme="1"/>
        <rFont val="Calibri (Body)"/>
      </rPr>
      <t>2</t>
    </r>
  </si>
  <si>
    <t>Provided</t>
  </si>
  <si>
    <r>
      <t>ρ</t>
    </r>
    <r>
      <rPr>
        <vertAlign val="subscript"/>
        <sz val="12"/>
        <color theme="1"/>
        <rFont val="Calibri (Body)"/>
      </rPr>
      <t>θ</t>
    </r>
    <r>
      <rPr>
        <sz val="12"/>
        <color theme="1"/>
        <rFont val="Calibri"/>
        <family val="2"/>
        <scheme val="minor"/>
      </rPr>
      <t>/Area</t>
    </r>
  </si>
  <si>
    <r>
      <t>κ</t>
    </r>
    <r>
      <rPr>
        <vertAlign val="subscript"/>
        <sz val="12"/>
        <color theme="1"/>
        <rFont val="Calibri (Body)"/>
      </rPr>
      <t>θ</t>
    </r>
    <r>
      <rPr>
        <sz val="12"/>
        <color theme="1"/>
        <rFont val="Calibri"/>
        <family val="2"/>
        <scheme val="minor"/>
      </rPr>
      <t>*Area</t>
    </r>
  </si>
  <si>
    <r>
      <t>t</t>
    </r>
    <r>
      <rPr>
        <vertAlign val="subscript"/>
        <sz val="12"/>
        <color theme="1"/>
        <rFont val="Calibri (Body)"/>
      </rPr>
      <t>µB</t>
    </r>
    <r>
      <rPr>
        <sz val="12"/>
        <color theme="1"/>
        <rFont val="Calibri"/>
        <family val="2"/>
        <scheme val="minor"/>
      </rPr>
      <t>/K</t>
    </r>
  </si>
  <si>
    <r>
      <t>D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·π/4</t>
    </r>
  </si>
  <si>
    <r>
      <t>A</t>
    </r>
    <r>
      <rPr>
        <vertAlign val="subscript"/>
        <sz val="12"/>
        <color theme="1"/>
        <rFont val="Calibri (Body)"/>
      </rPr>
      <t>pitch</t>
    </r>
    <r>
      <rPr>
        <sz val="12"/>
        <color theme="1"/>
        <rFont val="Calibri"/>
        <family val="2"/>
        <scheme val="minor"/>
      </rPr>
      <t>-A</t>
    </r>
    <r>
      <rPr>
        <vertAlign val="subscript"/>
        <sz val="12"/>
        <color theme="1"/>
        <rFont val="Calibri (Body)"/>
      </rPr>
      <t>µB</t>
    </r>
  </si>
  <si>
    <r>
      <t>S</t>
    </r>
    <r>
      <rPr>
        <vertAlign val="subscript"/>
        <sz val="12"/>
        <color theme="1"/>
        <rFont val="Calibri (Body)"/>
      </rPr>
      <t>θ</t>
    </r>
    <r>
      <rPr>
        <vertAlign val="subscript"/>
        <sz val="12"/>
        <color theme="1"/>
        <rFont val="Calibri"/>
        <family val="2"/>
        <scheme val="minor"/>
      </rPr>
      <t>,µB</t>
    </r>
    <r>
      <rPr>
        <sz val="12"/>
        <color theme="1"/>
        <rFont val="Calibri"/>
        <family val="2"/>
        <scheme val="minor"/>
      </rPr>
      <t>+S</t>
    </r>
    <r>
      <rPr>
        <vertAlign val="subscript"/>
        <sz val="12"/>
        <color theme="1"/>
        <rFont val="Calibri (Body)"/>
      </rPr>
      <t>θ,UF</t>
    </r>
  </si>
  <si>
    <r>
      <t>1/S</t>
    </r>
    <r>
      <rPr>
        <vertAlign val="subscript"/>
        <sz val="12"/>
        <color theme="1"/>
        <rFont val="Calibri (Body)"/>
      </rPr>
      <t>θ</t>
    </r>
  </si>
  <si>
    <r>
      <t>S</t>
    </r>
    <r>
      <rPr>
        <vertAlign val="subscript"/>
        <sz val="12"/>
        <color theme="1"/>
        <rFont val="Calibri (Body)"/>
      </rPr>
      <t>θ</t>
    </r>
    <r>
      <rPr>
        <vertAlign val="subscript"/>
        <sz val="12"/>
        <color theme="1"/>
        <rFont val="Calibri"/>
        <family val="2"/>
        <scheme val="minor"/>
      </rPr>
      <t>,model</t>
    </r>
    <r>
      <rPr>
        <sz val="12"/>
        <color theme="1"/>
        <rFont val="Calibri"/>
        <family val="2"/>
        <scheme val="minor"/>
      </rPr>
      <t>/S</t>
    </r>
    <r>
      <rPr>
        <vertAlign val="subscript"/>
        <sz val="12"/>
        <color theme="1"/>
        <rFont val="Calibri (Body)"/>
      </rPr>
      <t>θ,exp</t>
    </r>
    <r>
      <rPr>
        <sz val="12"/>
        <color theme="1"/>
        <rFont val="Calibri (Body)"/>
      </rPr>
      <t>-1</t>
    </r>
  </si>
  <si>
    <r>
      <t>R</t>
    </r>
    <r>
      <rPr>
        <vertAlign val="subscript"/>
        <sz val="12"/>
        <color theme="1"/>
        <rFont val="Calibri (Body)"/>
      </rPr>
      <t>θ·</t>
    </r>
    <r>
      <rPr>
        <sz val="12"/>
        <color theme="1"/>
        <rFont val="Calibri (Body)"/>
      </rPr>
      <t>Area</t>
    </r>
  </si>
  <si>
    <t>Thermal Resistance Calculator</t>
  </si>
  <si>
    <t xml:space="preserve">SPIL </t>
  </si>
  <si>
    <t>µBump Technology</t>
  </si>
  <si>
    <t>TSMC POR</t>
  </si>
  <si>
    <t>TSMC POR 1</t>
  </si>
  <si>
    <t xml:space="preserve">IBM Model fitting </t>
  </si>
  <si>
    <t>Electric Pond</t>
  </si>
  <si>
    <t>TSMC C1 HCP</t>
  </si>
  <si>
    <t>TSMC C1 CVD</t>
  </si>
  <si>
    <t># Lane</t>
  </si>
  <si>
    <t>Duplex</t>
  </si>
  <si>
    <t># I/O</t>
  </si>
  <si>
    <t># Vcc/Vss</t>
  </si>
  <si>
    <r>
      <t>R</t>
    </r>
    <r>
      <rPr>
        <vertAlign val="subscript"/>
        <sz val="12"/>
        <color theme="1"/>
        <rFont val="Calibri (Body)"/>
      </rPr>
      <t>θ,µB</t>
    </r>
  </si>
  <si>
    <r>
      <t>R</t>
    </r>
    <r>
      <rPr>
        <vertAlign val="subscript"/>
        <sz val="12"/>
        <color theme="1"/>
        <rFont val="Calibri (Body)"/>
      </rPr>
      <t>θ,UF</t>
    </r>
  </si>
  <si>
    <r>
      <t>Area</t>
    </r>
    <r>
      <rPr>
        <vertAlign val="subscript"/>
        <sz val="12"/>
        <color theme="1"/>
        <rFont val="Calibri (Body)"/>
      </rPr>
      <t>µB</t>
    </r>
  </si>
  <si>
    <r>
      <t>Diameter</t>
    </r>
    <r>
      <rPr>
        <vertAlign val="subscript"/>
        <sz val="12"/>
        <color theme="1"/>
        <rFont val="Calibri (Body)"/>
      </rPr>
      <t>µB</t>
    </r>
  </si>
  <si>
    <t>Density</t>
  </si>
  <si>
    <t>Die Size</t>
  </si>
  <si>
    <t>Capacity</t>
  </si>
  <si>
    <t>Energy</t>
  </si>
  <si>
    <t>Power</t>
  </si>
  <si>
    <r>
      <t>MB/mm</t>
    </r>
    <r>
      <rPr>
        <vertAlign val="superscript"/>
        <sz val="12"/>
        <color theme="1"/>
        <rFont val="Calibri (Body)"/>
      </rPr>
      <t>2</t>
    </r>
  </si>
  <si>
    <r>
      <t>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/ch</t>
    </r>
  </si>
  <si>
    <t>pJ/b</t>
  </si>
  <si>
    <t>1 or 2</t>
  </si>
  <si>
    <t>pin num.</t>
  </si>
  <si>
    <r>
      <t>mm</t>
    </r>
    <r>
      <rPr>
        <vertAlign val="superscript"/>
        <sz val="12"/>
        <color theme="1"/>
        <rFont val="Calibri (Body)"/>
      </rPr>
      <t>2</t>
    </r>
  </si>
  <si>
    <r>
      <t>R</t>
    </r>
    <r>
      <rPr>
        <vertAlign val="subscript"/>
        <sz val="12"/>
        <color theme="1"/>
        <rFont val="Calibri (Body)"/>
      </rPr>
      <t>θ,channel</t>
    </r>
  </si>
  <si>
    <t>Power Density</t>
  </si>
  <si>
    <r>
      <t>Area</t>
    </r>
    <r>
      <rPr>
        <vertAlign val="subscript"/>
        <sz val="12"/>
        <color theme="1"/>
        <rFont val="Calibri (Body)"/>
      </rPr>
      <t>UF</t>
    </r>
  </si>
  <si>
    <r>
      <t>ρ</t>
    </r>
    <r>
      <rPr>
        <vertAlign val="subscript"/>
        <sz val="12"/>
        <color theme="1"/>
        <rFont val="Calibri (Body)"/>
      </rPr>
      <t>θ,UF</t>
    </r>
  </si>
  <si>
    <r>
      <t>ρ</t>
    </r>
    <r>
      <rPr>
        <vertAlign val="subscript"/>
        <sz val="12"/>
        <color theme="1"/>
        <rFont val="Calibri (Body)"/>
      </rPr>
      <t>θ,channel</t>
    </r>
  </si>
  <si>
    <t>GT/s</t>
  </si>
  <si>
    <r>
      <t>mW/mm</t>
    </r>
    <r>
      <rPr>
        <vertAlign val="superscript"/>
        <sz val="12"/>
        <color theme="1"/>
        <rFont val="Calibri (Body)"/>
      </rPr>
      <t>2</t>
    </r>
  </si>
  <si>
    <r>
      <t>K</t>
    </r>
    <r>
      <rPr>
        <vertAlign val="subscript"/>
        <sz val="12"/>
        <color theme="1"/>
        <rFont val="Calibri (Body)"/>
      </rPr>
      <t>µB</t>
    </r>
  </si>
  <si>
    <t>∆T</t>
  </si>
  <si>
    <t>°C</t>
  </si>
  <si>
    <t>BW Density</t>
  </si>
  <si>
    <t>GB/s/MB</t>
  </si>
  <si>
    <t>thermal chimney</t>
  </si>
  <si>
    <r>
      <t>Pitch</t>
    </r>
    <r>
      <rPr>
        <vertAlign val="subscript"/>
        <sz val="12"/>
        <color theme="1"/>
        <rFont val="Calibri (Body)"/>
      </rPr>
      <t>µB</t>
    </r>
  </si>
  <si>
    <r>
      <t>K</t>
    </r>
    <r>
      <rPr>
        <vertAlign val="subscript"/>
        <sz val="12"/>
        <color theme="1"/>
        <rFont val="Calibri (Body)"/>
      </rPr>
      <t>UF</t>
    </r>
  </si>
  <si>
    <r>
      <t>ρ</t>
    </r>
    <r>
      <rPr>
        <vertAlign val="subscript"/>
        <sz val="12"/>
        <color theme="1"/>
        <rFont val="Calibri (Body)"/>
      </rPr>
      <t>θ,µB,HCP</t>
    </r>
  </si>
  <si>
    <r>
      <t>S</t>
    </r>
    <r>
      <rPr>
        <vertAlign val="subscript"/>
        <sz val="12"/>
        <color theme="1"/>
        <rFont val="Calibri (Body)"/>
      </rPr>
      <t>µB</t>
    </r>
  </si>
  <si>
    <r>
      <t>R</t>
    </r>
    <r>
      <rPr>
        <vertAlign val="subscript"/>
        <sz val="12"/>
        <color theme="1"/>
        <rFont val="Calibri (Body)"/>
      </rPr>
      <t>θ,Chimney</t>
    </r>
  </si>
  <si>
    <t>GB/s/ch</t>
  </si>
  <si>
    <t>mW/ch</t>
  </si>
  <si>
    <t>MB/ch</t>
  </si>
  <si>
    <t>Ratio</t>
  </si>
  <si>
    <t>½ Transfer Rate, ½ ∆T</t>
  </si>
  <si>
    <t>Base Line:
1.7~2.3MB/mm2
w/&amp;w/o Thermal Chimney
==&gt; ∆T=1.6~4.4 °C</t>
  </si>
  <si>
    <r>
      <t>16% to 25% ∆T reduction with
4% reduction in t</t>
    </r>
    <r>
      <rPr>
        <vertAlign val="subscript"/>
        <sz val="12"/>
        <color theme="1"/>
        <rFont val="Calibri (Body)"/>
      </rPr>
      <t>µB</t>
    </r>
    <r>
      <rPr>
        <sz val="12"/>
        <color theme="1"/>
        <rFont val="Calibri (Body)"/>
      </rPr>
      <t xml:space="preserve">
1µm increment in D</t>
    </r>
    <r>
      <rPr>
        <vertAlign val="subscript"/>
        <sz val="12"/>
        <color theme="1"/>
        <rFont val="Calibri (Body)"/>
      </rPr>
      <t>µB</t>
    </r>
  </si>
  <si>
    <t>Transfer Rate</t>
  </si>
  <si>
    <t>Pixel</t>
  </si>
  <si>
    <r>
      <t>S</t>
    </r>
    <r>
      <rPr>
        <vertAlign val="subscript"/>
        <sz val="12"/>
        <color theme="1"/>
        <rFont val="Calibri (Body)"/>
      </rPr>
      <t>pixel</t>
    </r>
  </si>
  <si>
    <r>
      <t>Area</t>
    </r>
    <r>
      <rPr>
        <vertAlign val="subscript"/>
        <sz val="12"/>
        <color theme="1"/>
        <rFont val="Calibri (Body)"/>
      </rPr>
      <t>Chimney</t>
    </r>
  </si>
  <si>
    <t>upto 30% ∆T reduction with
Underfill change (double thermal conductivity in TSMC symposium)</t>
  </si>
  <si>
    <t>~30% ∆T increment when half channel capacity</t>
  </si>
  <si>
    <t>~50% ∆T increment when quarter channel capacity</t>
  </si>
  <si>
    <t>~30% ∆T reduction when double channel capacity</t>
  </si>
  <si>
    <t>quarter channel capacity</t>
  </si>
  <si>
    <t>half channel capacity</t>
  </si>
  <si>
    <t>double channel capacity</t>
  </si>
  <si>
    <t>∆T change Ratio</t>
  </si>
  <si>
    <t>µBump size changes</t>
  </si>
  <si>
    <t>Control</t>
  </si>
  <si>
    <r>
      <t>Double K</t>
    </r>
    <r>
      <rPr>
        <vertAlign val="subscript"/>
        <sz val="12"/>
        <color theme="1"/>
        <rFont val="Calibri (Body)"/>
      </rPr>
      <t>θ,underfill</t>
    </r>
    <r>
      <rPr>
        <sz val="12"/>
        <color theme="1"/>
        <rFont val="Calibri"/>
        <family val="2"/>
        <scheme val="minor"/>
      </rPr>
      <t xml:space="preserve"> </t>
    </r>
  </si>
  <si>
    <t>½ Transfer Rate</t>
  </si>
  <si>
    <t>Adding 
TS-PDN</t>
  </si>
  <si>
    <t>Adding TS PDN thru µBump</t>
  </si>
  <si>
    <t xml:space="preserve">Full Dummification </t>
  </si>
  <si>
    <t>Reduce Memory Density</t>
  </si>
  <si>
    <t>Half Duplex</t>
  </si>
  <si>
    <r>
      <t>CD</t>
    </r>
    <r>
      <rPr>
        <vertAlign val="subscript"/>
        <sz val="12"/>
        <color theme="1"/>
        <rFont val="Calibri (Body)"/>
      </rPr>
      <t>µB</t>
    </r>
  </si>
  <si>
    <t xml:space="preserve">All Technology agumentation </t>
  </si>
  <si>
    <r>
      <t>ρ</t>
    </r>
    <r>
      <rPr>
        <vertAlign val="subscript"/>
        <sz val="12"/>
        <color theme="1"/>
        <rFont val="Calibri (Body)"/>
      </rPr>
      <t>θ,µB,eff</t>
    </r>
  </si>
  <si>
    <t>Material</t>
  </si>
  <si>
    <t>Thickness (µm)</t>
  </si>
  <si>
    <t>PECVD SiNx</t>
  </si>
  <si>
    <t>Total</t>
  </si>
  <si>
    <t>Intrinsic  Si</t>
  </si>
  <si>
    <t xml:space="preserve">Poly Silicon </t>
  </si>
  <si>
    <t>80~120</t>
  </si>
  <si>
    <t>Amorphous Silicon</t>
  </si>
  <si>
    <t>1~2</t>
  </si>
  <si>
    <t>110~120</t>
  </si>
  <si>
    <t>1E19 P-type  Si</t>
  </si>
  <si>
    <r>
      <t>R</t>
    </r>
    <r>
      <rPr>
        <vertAlign val="subscript"/>
        <sz val="12"/>
        <color theme="1"/>
        <rFont val="Calibri (Body)"/>
      </rPr>
      <t>TH</t>
    </r>
    <r>
      <rPr>
        <sz val="12"/>
        <color theme="1"/>
        <rFont val="Calibri"/>
        <family val="2"/>
        <scheme val="minor"/>
      </rPr>
      <t xml:space="preserve"> 
C·mm2/W</t>
    </r>
  </si>
  <si>
    <t>0.5~1.5</t>
  </si>
  <si>
    <t>0.1~0.7</t>
  </si>
  <si>
    <r>
      <t>SACVD SiO</t>
    </r>
    <r>
      <rPr>
        <vertAlign val="subscript"/>
        <sz val="12"/>
        <color theme="1"/>
        <rFont val="Calibri (Body)"/>
      </rPr>
      <t>2</t>
    </r>
  </si>
  <si>
    <r>
      <t>PECVD SiO</t>
    </r>
    <r>
      <rPr>
        <vertAlign val="subscript"/>
        <sz val="12"/>
        <color theme="1"/>
        <rFont val="Calibri (Body)"/>
      </rPr>
      <t>2</t>
    </r>
  </si>
  <si>
    <r>
      <t>Thermal SiO</t>
    </r>
    <r>
      <rPr>
        <vertAlign val="subscript"/>
        <sz val="12"/>
        <color theme="1"/>
        <rFont val="Calibri (Body)"/>
      </rPr>
      <t>2</t>
    </r>
  </si>
  <si>
    <t>0.1~0.6</t>
  </si>
  <si>
    <t>149?</t>
  </si>
  <si>
    <t>Thermal condutivity Range (W/m·K) @ 25°C</t>
  </si>
  <si>
    <t>K (W/m·K)</t>
  </si>
  <si>
    <t>Crystalline GST225</t>
  </si>
  <si>
    <t>10~50</t>
  </si>
  <si>
    <t>Amorphous GST225</t>
  </si>
  <si>
    <t>0.5~1</t>
  </si>
  <si>
    <t>Cu</t>
  </si>
  <si>
    <t>W</t>
  </si>
  <si>
    <t>Al</t>
  </si>
  <si>
    <t>Mo</t>
  </si>
  <si>
    <t>Ru</t>
  </si>
  <si>
    <t>Ta</t>
  </si>
  <si>
    <t>Co</t>
  </si>
  <si>
    <t>Ir</t>
  </si>
  <si>
    <t>h-BN</t>
  </si>
  <si>
    <t>600|, 30L</t>
  </si>
  <si>
    <t>PCB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</si>
</sst>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vertAlign val="subscript"/>
      <sz val="12"/>
      <color theme="1"/>
      <name val="Calibri (Body)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9" fontId="0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1" applyFont="1" applyFill="1" applyAlignment="1">
      <alignment horizontal="center" vertical="center"/>
    </xf>
    <xf numFmtId="9" fontId="0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582705</xdr:colOff>
      <xdr:row>12</xdr:row>
      <xdr:rowOff>59559</xdr:rowOff>
    </xdr:from>
    <xdr:to>
      <xdr:col>4</xdr:col>
      <xdr:colOff>581461</xdr:colOff>
      <xdr:row>17</xdr:row>
      <xdr:rowOff>64995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6B76D-AC15-308B-0C4D-FB834921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5" y="2599559"/>
          <a:ext cx="3421530" cy="101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328083</xdr:colOff>
      <xdr:row>8</xdr:row>
      <xdr:rowOff>137583</xdr:rowOff>
    </xdr:from>
    <xdr:to>
      <xdr:col>10</xdr:col>
      <xdr:colOff>550333</xdr:colOff>
      <xdr:row>17</xdr:row>
      <xdr:rowOff>160830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18D8A-3294-84B7-2B7E-EB325903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1416" y="1873250"/>
          <a:ext cx="4349750" cy="1832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243416</xdr:colOff>
      <xdr:row>8</xdr:row>
      <xdr:rowOff>113450</xdr:rowOff>
    </xdr:from>
    <xdr:to>
      <xdr:col>15</xdr:col>
      <xdr:colOff>321430</xdr:colOff>
      <xdr:row>17</xdr:row>
      <xdr:rowOff>196508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FEFFB9-7298-691F-3BC5-1B60ABA67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9749" y="1849117"/>
          <a:ext cx="3380014" cy="1892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0CA7-891D-834E-B762-F31A46D47004}">
  <dimension ref="A2:AJ36"/>
  <sheetViews>
    <sheetView topLeftCell="G10" zoomScale="263" zoomScaleNormal="263" workbookViewId="0">
      <selection activeCell="Q17" sqref="Q17"/>
    </sheetView>
  </sheetViews>
  <sheetFormatPr baseColWidth="10" defaultRowHeight="16" x14ac:dyDescent="0.2"/>
  <cols>
    <col min="1" max="1" width="12.1640625" bestFit="1" customWidth="1"/>
    <col min="2" max="9" width="10.83203125" style="1"/>
    <col min="12" max="16" width="10.83203125" style="1"/>
    <col min="17" max="17" width="13" style="1" bestFit="1" customWidth="1"/>
    <col min="18" max="18" width="12.1640625" style="1" bestFit="1" customWidth="1"/>
    <col min="19" max="19" width="10.83203125" style="1"/>
    <col min="34" max="36" width="10.83203125" style="1"/>
  </cols>
  <sheetData>
    <row r="2" spans="1:36" x14ac:dyDescent="0.2">
      <c r="A2" s="32" t="s">
        <v>46</v>
      </c>
      <c r="B2" s="33" t="s">
        <v>2</v>
      </c>
      <c r="C2" s="33"/>
      <c r="D2" s="33"/>
      <c r="E2" s="33"/>
      <c r="F2" s="33"/>
      <c r="G2" s="33"/>
      <c r="H2" s="33"/>
      <c r="I2" s="33"/>
      <c r="J2" s="33"/>
      <c r="L2" s="33" t="s">
        <v>16</v>
      </c>
      <c r="M2" s="33"/>
      <c r="N2" s="33"/>
      <c r="O2" s="33"/>
      <c r="P2" s="33"/>
      <c r="Q2" s="33"/>
      <c r="S2" s="33" t="s">
        <v>14</v>
      </c>
      <c r="T2" s="33"/>
      <c r="U2" s="33"/>
      <c r="V2" s="33"/>
      <c r="W2" s="33"/>
      <c r="X2" s="33"/>
      <c r="Z2" s="33" t="s">
        <v>15</v>
      </c>
      <c r="AA2" s="33"/>
      <c r="AB2" s="33"/>
      <c r="AC2" s="33"/>
      <c r="AD2" s="33"/>
      <c r="AE2" s="33"/>
    </row>
    <row r="3" spans="1:36" ht="18" x14ac:dyDescent="0.25">
      <c r="A3" s="32"/>
      <c r="B3" s="9" t="s">
        <v>0</v>
      </c>
      <c r="C3" s="9" t="s">
        <v>27</v>
      </c>
      <c r="D3" s="9" t="s">
        <v>13</v>
      </c>
      <c r="E3" s="1" t="s">
        <v>19</v>
      </c>
      <c r="F3" s="9" t="s">
        <v>3</v>
      </c>
      <c r="G3" s="1" t="s">
        <v>4</v>
      </c>
      <c r="H3" s="1" t="s">
        <v>1</v>
      </c>
      <c r="I3" s="1" t="s">
        <v>5</v>
      </c>
      <c r="J3" s="1" t="s">
        <v>6</v>
      </c>
      <c r="L3" s="1" t="s">
        <v>19</v>
      </c>
      <c r="M3" s="1" t="s">
        <v>3</v>
      </c>
      <c r="N3" s="1" t="s">
        <v>4</v>
      </c>
      <c r="O3" s="1" t="s">
        <v>5</v>
      </c>
      <c r="P3" s="1" t="s">
        <v>6</v>
      </c>
      <c r="Q3" s="1" t="s">
        <v>17</v>
      </c>
      <c r="S3" s="1" t="s">
        <v>19</v>
      </c>
      <c r="T3" s="1" t="s">
        <v>3</v>
      </c>
      <c r="U3" s="1" t="s">
        <v>4</v>
      </c>
      <c r="V3" s="1" t="s">
        <v>1</v>
      </c>
      <c r="W3" s="1" t="s">
        <v>5</v>
      </c>
      <c r="X3" s="1" t="s">
        <v>6</v>
      </c>
      <c r="Z3" s="1" t="s">
        <v>19</v>
      </c>
      <c r="AA3" s="1" t="s">
        <v>3</v>
      </c>
      <c r="AB3" s="1" t="s">
        <v>4</v>
      </c>
      <c r="AC3" s="1" t="s">
        <v>1</v>
      </c>
      <c r="AD3" s="1" t="s">
        <v>5</v>
      </c>
      <c r="AE3" s="1" t="s">
        <v>6</v>
      </c>
      <c r="AH3" s="1" t="s">
        <v>23</v>
      </c>
      <c r="AI3" s="1" t="s">
        <v>25</v>
      </c>
      <c r="AJ3" s="1" t="s">
        <v>22</v>
      </c>
    </row>
    <row r="4" spans="1:36" ht="20" x14ac:dyDescent="0.25">
      <c r="A4" s="32"/>
      <c r="B4" s="9" t="s">
        <v>31</v>
      </c>
      <c r="C4" s="9" t="s">
        <v>31</v>
      </c>
      <c r="D4" s="9" t="s">
        <v>31</v>
      </c>
      <c r="E4" s="1" t="s">
        <v>28</v>
      </c>
      <c r="F4" s="9" t="s">
        <v>26</v>
      </c>
      <c r="G4" s="1" t="s">
        <v>29</v>
      </c>
      <c r="H4" s="1" t="s">
        <v>30</v>
      </c>
      <c r="I4" s="1" t="s">
        <v>32</v>
      </c>
      <c r="J4" s="1" t="s">
        <v>33</v>
      </c>
      <c r="L4" s="1" t="s">
        <v>28</v>
      </c>
      <c r="M4" s="1" t="s">
        <v>40</v>
      </c>
      <c r="N4" s="1" t="s">
        <v>29</v>
      </c>
      <c r="O4" s="1" t="s">
        <v>38</v>
      </c>
      <c r="P4" s="1" t="s">
        <v>37</v>
      </c>
      <c r="Q4" s="1" t="s">
        <v>39</v>
      </c>
      <c r="S4" s="1" t="s">
        <v>31</v>
      </c>
      <c r="T4" s="1" t="s">
        <v>34</v>
      </c>
      <c r="U4" s="1" t="s">
        <v>29</v>
      </c>
      <c r="V4" s="1" t="s">
        <v>35</v>
      </c>
      <c r="W4" s="1" t="s">
        <v>32</v>
      </c>
      <c r="X4" s="1" t="s">
        <v>33</v>
      </c>
      <c r="Z4" s="1" t="s">
        <v>31</v>
      </c>
      <c r="AA4" s="1" t="s">
        <v>34</v>
      </c>
      <c r="AB4" s="1" t="s">
        <v>29</v>
      </c>
      <c r="AC4" s="1" t="s">
        <v>36</v>
      </c>
      <c r="AD4" s="1" t="s">
        <v>32</v>
      </c>
      <c r="AE4" s="1" t="s">
        <v>33</v>
      </c>
    </row>
    <row r="5" spans="1:36" ht="19" x14ac:dyDescent="0.2">
      <c r="A5" s="32"/>
      <c r="B5" s="9" t="s">
        <v>9</v>
      </c>
      <c r="C5" s="9" t="s">
        <v>9</v>
      </c>
      <c r="D5" s="9" t="s">
        <v>9</v>
      </c>
      <c r="E5" s="1" t="s">
        <v>21</v>
      </c>
      <c r="F5" s="9" t="s">
        <v>7</v>
      </c>
      <c r="G5" s="1" t="s">
        <v>20</v>
      </c>
      <c r="H5" s="1" t="s">
        <v>10</v>
      </c>
      <c r="I5" s="1" t="s">
        <v>11</v>
      </c>
      <c r="J5" s="1" t="s">
        <v>12</v>
      </c>
      <c r="L5" s="1" t="s">
        <v>21</v>
      </c>
      <c r="M5" s="1" t="s">
        <v>7</v>
      </c>
      <c r="N5" s="1" t="s">
        <v>20</v>
      </c>
      <c r="O5" s="1" t="s">
        <v>11</v>
      </c>
      <c r="P5" s="1" t="s">
        <v>12</v>
      </c>
      <c r="Q5" s="1" t="s">
        <v>18</v>
      </c>
      <c r="S5" s="1" t="s">
        <v>21</v>
      </c>
      <c r="T5" s="1" t="s">
        <v>7</v>
      </c>
      <c r="U5" s="1" t="s">
        <v>8</v>
      </c>
      <c r="V5" s="1" t="s">
        <v>10</v>
      </c>
      <c r="W5" s="1" t="s">
        <v>11</v>
      </c>
      <c r="X5" s="1" t="s">
        <v>12</v>
      </c>
      <c r="Z5" s="1" t="s">
        <v>21</v>
      </c>
      <c r="AA5" s="1" t="s">
        <v>7</v>
      </c>
      <c r="AB5" s="1" t="s">
        <v>8</v>
      </c>
      <c r="AC5" s="1" t="s">
        <v>10</v>
      </c>
      <c r="AD5" s="1" t="s">
        <v>11</v>
      </c>
      <c r="AE5" s="1" t="s">
        <v>12</v>
      </c>
      <c r="AH5" s="1" t="s">
        <v>8</v>
      </c>
      <c r="AI5" s="1" t="s">
        <v>8</v>
      </c>
      <c r="AJ5" s="1" t="s">
        <v>12</v>
      </c>
    </row>
    <row r="6" spans="1:36" x14ac:dyDescent="0.2">
      <c r="A6" s="32"/>
      <c r="B6" s="9">
        <v>50</v>
      </c>
      <c r="C6" s="9">
        <v>19.41</v>
      </c>
      <c r="D6" s="9">
        <v>25</v>
      </c>
      <c r="E6" s="3">
        <f>C6/F6</f>
        <v>2.42625</v>
      </c>
      <c r="F6" s="7">
        <v>8</v>
      </c>
      <c r="G6" s="3">
        <f>1/F6</f>
        <v>0.125</v>
      </c>
      <c r="H6" s="1">
        <f>B6^2</f>
        <v>2500</v>
      </c>
      <c r="I6" s="4">
        <f>F6/H6*10^6</f>
        <v>3200</v>
      </c>
      <c r="J6" s="6">
        <f>G6*H6*10^-6</f>
        <v>3.1250000000000001E-4</v>
      </c>
      <c r="K6" s="5"/>
      <c r="L6" s="3">
        <f>C6/M6</f>
        <v>2.1690625000000003</v>
      </c>
      <c r="M6" s="2">
        <f>O6*H6*10^-6</f>
        <v>8.9485664889785319</v>
      </c>
      <c r="N6" s="3">
        <f>1/M6</f>
        <v>0.11174974240082433</v>
      </c>
      <c r="O6" s="6">
        <f>1/P6</f>
        <v>3579.4265955914129</v>
      </c>
      <c r="P6" s="6">
        <f>X6+AE6</f>
        <v>2.7937435600206082E-4</v>
      </c>
      <c r="Q6" s="8">
        <f>P6/J6-1</f>
        <v>-0.10600206079340535</v>
      </c>
      <c r="R6" s="6"/>
      <c r="S6" s="9">
        <v>8.8000000000000007</v>
      </c>
      <c r="T6" s="2">
        <f>$C6/S6</f>
        <v>2.2056818181818181</v>
      </c>
      <c r="U6" s="3">
        <f>1/T6</f>
        <v>0.4533745492014426</v>
      </c>
      <c r="V6" s="4">
        <f>(D6/2)^2*3.14</f>
        <v>490.625</v>
      </c>
      <c r="W6" s="4">
        <f>T6/V6*10^6</f>
        <v>4495.6572090330046</v>
      </c>
      <c r="X6" s="6">
        <f>U6*V6*10^-6</f>
        <v>2.2243688820195777E-4</v>
      </c>
      <c r="Z6" s="9">
        <v>0.55000000000000004</v>
      </c>
      <c r="AA6" s="2">
        <f>$C6/Z6</f>
        <v>35.290909090909089</v>
      </c>
      <c r="AB6" s="3">
        <f>1/AA6</f>
        <v>2.8335909325090163E-2</v>
      </c>
      <c r="AC6" s="1">
        <f>H6-V6</f>
        <v>2009.375</v>
      </c>
      <c r="AD6" s="4">
        <f>AA6/AC6*10^6</f>
        <v>17563.12738583345</v>
      </c>
      <c r="AE6" s="6">
        <f>AB6*AC6*10^-6</f>
        <v>5.6937467800103037E-5</v>
      </c>
      <c r="AH6" s="6">
        <f>F6</f>
        <v>8</v>
      </c>
      <c r="AI6" s="6">
        <v>-100</v>
      </c>
      <c r="AJ6" s="6">
        <f>(AH6-AI6)*AC6</f>
        <v>217012.5</v>
      </c>
    </row>
    <row r="7" spans="1:36" x14ac:dyDescent="0.2">
      <c r="A7" s="32"/>
      <c r="B7" s="9">
        <v>71</v>
      </c>
      <c r="C7" s="9">
        <v>19.41</v>
      </c>
      <c r="D7" s="9">
        <v>25</v>
      </c>
      <c r="E7" s="3">
        <f>C7/F7</f>
        <v>1.252258064516129</v>
      </c>
      <c r="F7" s="7">
        <v>15.5</v>
      </c>
      <c r="G7" s="3">
        <f>1/F7</f>
        <v>6.4516129032258063E-2</v>
      </c>
      <c r="H7" s="1">
        <f>B7^2</f>
        <v>5041</v>
      </c>
      <c r="I7" s="4">
        <f>F7/H7*10^6</f>
        <v>3074.7867486609798</v>
      </c>
      <c r="J7" s="6">
        <f>G7*H7*10^-6</f>
        <v>3.2522580645161285E-4</v>
      </c>
      <c r="L7" s="3">
        <f>C7/M7</f>
        <v>1.3529470839119224</v>
      </c>
      <c r="M7" s="2">
        <f>O7*H7*10^-6</f>
        <v>14.346459097186392</v>
      </c>
      <c r="N7" s="3">
        <f>1/M7</f>
        <v>6.9703610711587968E-2</v>
      </c>
      <c r="O7" s="6">
        <f>1/P7</f>
        <v>2845.9549885313218</v>
      </c>
      <c r="P7" s="6">
        <f>X7+AE7</f>
        <v>3.5137590159711491E-4</v>
      </c>
      <c r="Q7" s="8">
        <f>P7/J7-1</f>
        <v>8.0405966029613474E-2</v>
      </c>
      <c r="S7" s="1">
        <f>S$6</f>
        <v>8.8000000000000007</v>
      </c>
      <c r="T7" s="2">
        <f>$C7/S7</f>
        <v>2.2056818181818181</v>
      </c>
      <c r="U7" s="3">
        <f>1/T7</f>
        <v>0.4533745492014426</v>
      </c>
      <c r="V7" s="4">
        <f>(D7/2)^2*3.14</f>
        <v>490.625</v>
      </c>
      <c r="W7" s="4">
        <f>T7/V7*10^6</f>
        <v>4495.6572090330046</v>
      </c>
      <c r="X7" s="6">
        <f>U7*V7*10^-6</f>
        <v>2.2243688820195777E-4</v>
      </c>
      <c r="Z7" s="1">
        <f>Z$6</f>
        <v>0.55000000000000004</v>
      </c>
      <c r="AA7" s="2">
        <f>$C7/Z7</f>
        <v>35.290909090909089</v>
      </c>
      <c r="AB7" s="3">
        <f>1/AA7</f>
        <v>2.8335909325090163E-2</v>
      </c>
      <c r="AC7" s="1">
        <f>H7-V7</f>
        <v>4550.375</v>
      </c>
      <c r="AD7" s="4">
        <f>AA7/AC7*10^6</f>
        <v>7755.6045580658929</v>
      </c>
      <c r="AE7" s="6">
        <f>AB7*AC7*10^-6</f>
        <v>1.2893901339515717E-4</v>
      </c>
      <c r="AH7" s="6">
        <f>F7</f>
        <v>15.5</v>
      </c>
      <c r="AI7" s="6">
        <f>AI6</f>
        <v>-100</v>
      </c>
      <c r="AJ7" s="6">
        <f>(AH7-AI7)*AC7</f>
        <v>525568.3125</v>
      </c>
    </row>
    <row r="8" spans="1:36" x14ac:dyDescent="0.2">
      <c r="A8" s="32"/>
      <c r="B8" s="9">
        <v>100</v>
      </c>
      <c r="C8" s="9">
        <v>19.41</v>
      </c>
      <c r="D8" s="9">
        <v>25</v>
      </c>
      <c r="E8" s="3">
        <f>C8/F8</f>
        <v>1.0215789473684211</v>
      </c>
      <c r="F8" s="7">
        <v>19</v>
      </c>
      <c r="G8" s="3">
        <f>1/F8</f>
        <v>5.2631578947368418E-2</v>
      </c>
      <c r="H8" s="1">
        <f>B8^2</f>
        <v>10000</v>
      </c>
      <c r="I8" s="4">
        <f>F8/H8*10^6</f>
        <v>1900</v>
      </c>
      <c r="J8" s="6">
        <f>G8*H8*10^-6</f>
        <v>5.2631578947368409E-4</v>
      </c>
      <c r="L8" s="3">
        <f>C8/M8</f>
        <v>0.95476562500000028</v>
      </c>
      <c r="M8" s="2">
        <f>O8*H8*10^-6</f>
        <v>20.329596596023233</v>
      </c>
      <c r="N8" s="3">
        <f>1/M8</f>
        <v>4.918936759402371E-2</v>
      </c>
      <c r="O8" s="6">
        <f>1/P8</f>
        <v>2032.9596596023237</v>
      </c>
      <c r="P8" s="6">
        <f>X8+AE8</f>
        <v>4.9189367594023703E-4</v>
      </c>
      <c r="Q8" s="8">
        <f>P8/J8-1</f>
        <v>-6.5402015713549422E-2</v>
      </c>
      <c r="S8" s="1">
        <f>S$6</f>
        <v>8.8000000000000007</v>
      </c>
      <c r="T8" s="2">
        <f>$C8/S8</f>
        <v>2.2056818181818181</v>
      </c>
      <c r="U8" s="3">
        <f>1/T8</f>
        <v>0.4533745492014426</v>
      </c>
      <c r="V8" s="4">
        <f>(D8/2)^2*3.14</f>
        <v>490.625</v>
      </c>
      <c r="W8" s="4">
        <f>T8/V8*10^6</f>
        <v>4495.6572090330046</v>
      </c>
      <c r="X8" s="6">
        <f>U8*V8*10^-6</f>
        <v>2.2243688820195777E-4</v>
      </c>
      <c r="Z8" s="1">
        <f>Z$6</f>
        <v>0.55000000000000004</v>
      </c>
      <c r="AA8" s="2">
        <f>$C8/Z8</f>
        <v>35.290909090909089</v>
      </c>
      <c r="AB8" s="3">
        <f>1/AA8</f>
        <v>2.8335909325090163E-2</v>
      </c>
      <c r="AC8" s="1">
        <f>H8-V8</f>
        <v>9509.375</v>
      </c>
      <c r="AD8" s="4">
        <f>AA8/AC8*10^6</f>
        <v>3711.1701968750931</v>
      </c>
      <c r="AE8" s="6">
        <f>AB8*AC8*10^-6</f>
        <v>2.6945678773827929E-4</v>
      </c>
      <c r="AH8" s="6">
        <f>F8</f>
        <v>19</v>
      </c>
      <c r="AI8" s="6">
        <f>AI7</f>
        <v>-100</v>
      </c>
      <c r="AJ8" s="6">
        <f>(AH8-AI8)*AC8</f>
        <v>1131615.625</v>
      </c>
    </row>
    <row r="13" spans="1:36" x14ac:dyDescent="0.2">
      <c r="G13"/>
    </row>
    <row r="19" spans="1:36" ht="16" customHeight="1" x14ac:dyDescent="0.2">
      <c r="A19" s="32" t="s">
        <v>41</v>
      </c>
      <c r="B19" s="33" t="s">
        <v>43</v>
      </c>
      <c r="C19" s="33"/>
      <c r="D19" s="33"/>
      <c r="E19" s="33"/>
      <c r="F19" s="33"/>
      <c r="G19" s="33"/>
      <c r="H19" s="33"/>
      <c r="I19" s="33"/>
      <c r="J19" s="33"/>
      <c r="L19" s="33" t="s">
        <v>16</v>
      </c>
      <c r="M19" s="33"/>
      <c r="N19" s="33"/>
      <c r="O19" s="33"/>
      <c r="P19" s="33"/>
      <c r="Q19" s="33"/>
      <c r="S19" s="33" t="s">
        <v>14</v>
      </c>
      <c r="T19" s="33"/>
      <c r="U19" s="33"/>
      <c r="V19" s="33"/>
      <c r="W19" s="33"/>
      <c r="X19" s="33"/>
      <c r="Z19" s="33" t="s">
        <v>15</v>
      </c>
      <c r="AA19" s="33"/>
      <c r="AB19" s="33"/>
      <c r="AC19" s="33"/>
      <c r="AD19" s="33"/>
      <c r="AE19" s="33"/>
    </row>
    <row r="20" spans="1:36" ht="18" x14ac:dyDescent="0.25">
      <c r="A20" s="32"/>
      <c r="B20" s="9" t="s">
        <v>0</v>
      </c>
      <c r="C20" s="9" t="s">
        <v>27</v>
      </c>
      <c r="D20" s="9" t="s">
        <v>13</v>
      </c>
      <c r="E20" s="13" t="s">
        <v>19</v>
      </c>
      <c r="F20" s="13" t="s">
        <v>3</v>
      </c>
      <c r="G20" s="13" t="s">
        <v>4</v>
      </c>
      <c r="H20" s="1" t="s">
        <v>1</v>
      </c>
      <c r="I20" s="1" t="s">
        <v>5</v>
      </c>
      <c r="J20" s="1" t="s">
        <v>6</v>
      </c>
      <c r="L20" s="1" t="s">
        <v>19</v>
      </c>
      <c r="M20" s="1" t="s">
        <v>3</v>
      </c>
      <c r="N20" s="1" t="s">
        <v>4</v>
      </c>
      <c r="O20" s="1" t="s">
        <v>5</v>
      </c>
      <c r="P20" s="1" t="s">
        <v>6</v>
      </c>
      <c r="Q20" s="1" t="s">
        <v>17</v>
      </c>
      <c r="S20" s="1" t="s">
        <v>19</v>
      </c>
      <c r="T20" s="1" t="s">
        <v>3</v>
      </c>
      <c r="U20" s="1" t="s">
        <v>4</v>
      </c>
      <c r="V20" s="1" t="s">
        <v>1</v>
      </c>
      <c r="W20" s="1" t="s">
        <v>5</v>
      </c>
      <c r="X20" s="1" t="s">
        <v>6</v>
      </c>
      <c r="Z20" s="1" t="s">
        <v>19</v>
      </c>
      <c r="AA20" s="1" t="s">
        <v>3</v>
      </c>
      <c r="AB20" s="1" t="s">
        <v>4</v>
      </c>
      <c r="AC20" s="1" t="s">
        <v>1</v>
      </c>
      <c r="AD20" s="1" t="s">
        <v>5</v>
      </c>
      <c r="AE20" s="1" t="s">
        <v>6</v>
      </c>
      <c r="AH20" s="1" t="s">
        <v>23</v>
      </c>
      <c r="AI20" s="1" t="s">
        <v>25</v>
      </c>
      <c r="AJ20" s="1" t="s">
        <v>22</v>
      </c>
    </row>
    <row r="21" spans="1:36" ht="20" x14ac:dyDescent="0.25">
      <c r="A21" s="32"/>
      <c r="B21" s="9" t="s">
        <v>31</v>
      </c>
      <c r="C21" s="9" t="s">
        <v>31</v>
      </c>
      <c r="D21" s="9" t="s">
        <v>31</v>
      </c>
      <c r="E21" s="13" t="s">
        <v>28</v>
      </c>
      <c r="F21" s="13" t="s">
        <v>40</v>
      </c>
      <c r="G21" s="13" t="s">
        <v>29</v>
      </c>
      <c r="H21" s="1" t="s">
        <v>30</v>
      </c>
      <c r="I21" s="1" t="s">
        <v>32</v>
      </c>
      <c r="J21" s="1" t="s">
        <v>33</v>
      </c>
      <c r="L21" s="1" t="s">
        <v>28</v>
      </c>
      <c r="M21" s="1" t="s">
        <v>40</v>
      </c>
      <c r="N21" s="1" t="s">
        <v>29</v>
      </c>
      <c r="O21" s="1" t="s">
        <v>38</v>
      </c>
      <c r="P21" s="1" t="s">
        <v>37</v>
      </c>
      <c r="Q21" s="1" t="s">
        <v>39</v>
      </c>
      <c r="S21" s="1" t="s">
        <v>31</v>
      </c>
      <c r="T21" s="1" t="s">
        <v>34</v>
      </c>
      <c r="U21" s="1" t="s">
        <v>29</v>
      </c>
      <c r="V21" s="1" t="s">
        <v>35</v>
      </c>
      <c r="W21" s="1" t="s">
        <v>32</v>
      </c>
      <c r="X21" s="1" t="s">
        <v>33</v>
      </c>
      <c r="Z21" s="1" t="s">
        <v>31</v>
      </c>
      <c r="AA21" s="1" t="s">
        <v>34</v>
      </c>
      <c r="AB21" s="1" t="s">
        <v>29</v>
      </c>
      <c r="AC21" s="1" t="s">
        <v>36</v>
      </c>
      <c r="AD21" s="1" t="s">
        <v>32</v>
      </c>
      <c r="AE21" s="1" t="s">
        <v>33</v>
      </c>
    </row>
    <row r="22" spans="1:36" ht="19" x14ac:dyDescent="0.2">
      <c r="A22" s="32"/>
      <c r="B22" s="9" t="s">
        <v>9</v>
      </c>
      <c r="C22" s="9" t="s">
        <v>9</v>
      </c>
      <c r="D22" s="9" t="s">
        <v>9</v>
      </c>
      <c r="E22" s="13" t="s">
        <v>21</v>
      </c>
      <c r="F22" s="13" t="s">
        <v>7</v>
      </c>
      <c r="G22" s="13" t="s">
        <v>20</v>
      </c>
      <c r="H22" s="1" t="s">
        <v>10</v>
      </c>
      <c r="I22" s="1" t="s">
        <v>11</v>
      </c>
      <c r="J22" s="1" t="s">
        <v>12</v>
      </c>
      <c r="L22" s="1" t="s">
        <v>21</v>
      </c>
      <c r="M22" s="1" t="s">
        <v>7</v>
      </c>
      <c r="N22" s="1" t="s">
        <v>20</v>
      </c>
      <c r="O22" s="1" t="s">
        <v>11</v>
      </c>
      <c r="P22" s="1" t="s">
        <v>12</v>
      </c>
      <c r="Q22" s="1" t="s">
        <v>18</v>
      </c>
      <c r="S22" s="1" t="s">
        <v>21</v>
      </c>
      <c r="T22" s="1" t="s">
        <v>7</v>
      </c>
      <c r="U22" s="1" t="s">
        <v>8</v>
      </c>
      <c r="V22" s="1" t="s">
        <v>10</v>
      </c>
      <c r="W22" s="1" t="s">
        <v>11</v>
      </c>
      <c r="X22" s="1" t="s">
        <v>12</v>
      </c>
      <c r="Z22" s="1" t="s">
        <v>21</v>
      </c>
      <c r="AA22" s="1" t="s">
        <v>7</v>
      </c>
      <c r="AB22" s="1" t="s">
        <v>8</v>
      </c>
      <c r="AC22" s="1" t="s">
        <v>10</v>
      </c>
      <c r="AD22" s="1" t="s">
        <v>11</v>
      </c>
      <c r="AE22" s="1" t="s">
        <v>12</v>
      </c>
      <c r="AH22" s="1" t="s">
        <v>8</v>
      </c>
      <c r="AI22" s="1" t="s">
        <v>8</v>
      </c>
      <c r="AJ22" s="1" t="s">
        <v>12</v>
      </c>
    </row>
    <row r="23" spans="1:36" x14ac:dyDescent="0.2">
      <c r="A23" s="32" t="s">
        <v>42</v>
      </c>
      <c r="B23" s="9">
        <v>45</v>
      </c>
      <c r="C23" s="9">
        <v>46.5</v>
      </c>
      <c r="D23" s="9">
        <v>25</v>
      </c>
      <c r="E23" s="14">
        <f t="shared" ref="E23:G26" si="0">L23</f>
        <v>2.5488425925925933</v>
      </c>
      <c r="F23" s="14">
        <f t="shared" si="0"/>
        <v>18.243574607210967</v>
      </c>
      <c r="G23" s="14">
        <f t="shared" si="0"/>
        <v>5.481381919553964E-2</v>
      </c>
      <c r="H23" s="1">
        <f>B23^2</f>
        <v>2025</v>
      </c>
      <c r="I23" s="4">
        <f>F23/H23*10^6</f>
        <v>9009.1726455362805</v>
      </c>
      <c r="J23" s="6">
        <f>G23*H23*10^-6</f>
        <v>1.1099798387096776E-4</v>
      </c>
      <c r="K23" s="5"/>
      <c r="L23" s="3">
        <f>C23/M23</f>
        <v>2.5488425925925933</v>
      </c>
      <c r="M23" s="12">
        <f>O23*H23*10^-6</f>
        <v>18.243574607210967</v>
      </c>
      <c r="N23" s="3">
        <f>1/M23</f>
        <v>5.481381919553964E-2</v>
      </c>
      <c r="O23" s="6">
        <f>1/P23</f>
        <v>9009.1726455362805</v>
      </c>
      <c r="P23" s="6">
        <f>X23+AE23</f>
        <v>1.1099798387096775E-4</v>
      </c>
      <c r="Q23" s="8">
        <f>P23/J23-1</f>
        <v>0</v>
      </c>
      <c r="R23" s="6"/>
      <c r="S23" s="1">
        <f>S$6</f>
        <v>8.8000000000000007</v>
      </c>
      <c r="T23" s="2">
        <f>$C23/S23</f>
        <v>5.2840909090909083</v>
      </c>
      <c r="U23" s="3">
        <f>1/T23</f>
        <v>0.18924731182795701</v>
      </c>
      <c r="V23" s="4">
        <f>(D23/2)^2*3.14</f>
        <v>490.625</v>
      </c>
      <c r="W23" s="4">
        <f>T23/V23*10^6</f>
        <v>10770.121598147074</v>
      </c>
      <c r="X23" s="6">
        <f>U23*V23*10^-6</f>
        <v>9.2849462365591403E-5</v>
      </c>
      <c r="Z23" s="9">
        <v>0.55000000000000004</v>
      </c>
      <c r="AA23" s="2">
        <f>$C23/Z23</f>
        <v>84.545454545454533</v>
      </c>
      <c r="AB23" s="3">
        <f>1/AA23</f>
        <v>1.1827956989247313E-2</v>
      </c>
      <c r="AC23" s="4">
        <f>H23-V23</f>
        <v>1534.375</v>
      </c>
      <c r="AD23" s="4">
        <f>AA23/AC23*10^6</f>
        <v>55100.907239400105</v>
      </c>
      <c r="AE23" s="6">
        <f>AB23*AC23*10^-6</f>
        <v>1.8148521505376348E-5</v>
      </c>
      <c r="AH23" s="6">
        <f>F23</f>
        <v>18.243574607210967</v>
      </c>
      <c r="AI23" s="6">
        <v>-100</v>
      </c>
      <c r="AJ23" s="6">
        <f>(AH23-AI23)*AC23</f>
        <v>181429.98478793935</v>
      </c>
    </row>
    <row r="24" spans="1:36" x14ac:dyDescent="0.2">
      <c r="A24" s="32"/>
      <c r="B24" s="9">
        <v>25</v>
      </c>
      <c r="C24" s="9">
        <v>26</v>
      </c>
      <c r="D24" s="9">
        <v>12</v>
      </c>
      <c r="E24" s="14">
        <f t="shared" si="0"/>
        <v>2.0421279999999999</v>
      </c>
      <c r="F24" s="14">
        <f t="shared" si="0"/>
        <v>12.731817006573534</v>
      </c>
      <c r="G24" s="14">
        <f t="shared" si="0"/>
        <v>7.8543384615384626E-2</v>
      </c>
      <c r="H24" s="1">
        <f>B24^2</f>
        <v>625</v>
      </c>
      <c r="I24" s="4">
        <f>F24/H24*10^6</f>
        <v>20370.907210517656</v>
      </c>
      <c r="J24" s="6">
        <f>G24*H24*10^-6</f>
        <v>4.9089615384615387E-5</v>
      </c>
      <c r="L24" s="3">
        <f>C24/M24</f>
        <v>2.0421279999999999</v>
      </c>
      <c r="M24" s="12">
        <f>O24*H24*10^-6</f>
        <v>12.731817006573534</v>
      </c>
      <c r="N24" s="3">
        <f>1/M24</f>
        <v>7.8543384615384626E-2</v>
      </c>
      <c r="O24" s="6">
        <f>1/P24</f>
        <v>20370.907210517656</v>
      </c>
      <c r="P24" s="6">
        <f>X24+AE24</f>
        <v>4.908961538461538E-5</v>
      </c>
      <c r="Q24" s="8">
        <f>P24/J24-1</f>
        <v>0</v>
      </c>
      <c r="S24" s="1">
        <f>S$6</f>
        <v>8.8000000000000007</v>
      </c>
      <c r="T24" s="2">
        <f>$C24/S24</f>
        <v>2.9545454545454541</v>
      </c>
      <c r="U24" s="3">
        <f>1/T24</f>
        <v>0.33846153846153848</v>
      </c>
      <c r="V24" s="4">
        <f>(D24/2)^2*3.14</f>
        <v>113.04</v>
      </c>
      <c r="W24" s="4">
        <f>T24/V24*10^6</f>
        <v>26137.167856913075</v>
      </c>
      <c r="X24" s="6">
        <f>U24*V24*10^-6</f>
        <v>3.8259692307692308E-5</v>
      </c>
      <c r="Z24" s="1">
        <f>Z$6</f>
        <v>0.55000000000000004</v>
      </c>
      <c r="AA24" s="2">
        <f>$C24/Z24</f>
        <v>47.272727272727266</v>
      </c>
      <c r="AB24" s="3">
        <f>1/AA24</f>
        <v>2.1153846153846155E-2</v>
      </c>
      <c r="AC24" s="1">
        <f>H24-V24</f>
        <v>511.96</v>
      </c>
      <c r="AD24" s="4">
        <f>AA24/AC24*10^6</f>
        <v>92336.759263862943</v>
      </c>
      <c r="AE24" s="6">
        <f>AB24*AC24*10^-6</f>
        <v>1.0829923076923076E-5</v>
      </c>
      <c r="AH24" s="6">
        <f>F24</f>
        <v>12.731817006573534</v>
      </c>
      <c r="AI24" s="6">
        <f>AI23</f>
        <v>-100</v>
      </c>
      <c r="AJ24" s="6">
        <f>(AH24-AI24)*AC24</f>
        <v>57714.181034685382</v>
      </c>
    </row>
    <row r="25" spans="1:36" x14ac:dyDescent="0.2">
      <c r="A25" s="32"/>
      <c r="B25" s="9">
        <v>20</v>
      </c>
      <c r="C25" s="9">
        <v>27.7</v>
      </c>
      <c r="D25" s="9">
        <v>12</v>
      </c>
      <c r="E25" s="14">
        <f t="shared" si="0"/>
        <v>2.8814500000000005</v>
      </c>
      <c r="F25" s="14">
        <f t="shared" si="0"/>
        <v>9.6132155685505545</v>
      </c>
      <c r="G25" s="14">
        <f t="shared" si="0"/>
        <v>0.10402346570397114</v>
      </c>
      <c r="H25" s="1">
        <f>B25^2</f>
        <v>400</v>
      </c>
      <c r="I25" s="4">
        <f>F25/H25*10^6</f>
        <v>24033.038921376385</v>
      </c>
      <c r="J25" s="6">
        <f>G25*H25*10^-6</f>
        <v>4.1609386281588456E-5</v>
      </c>
      <c r="L25" s="3">
        <f>C25/M25</f>
        <v>2.8814500000000005</v>
      </c>
      <c r="M25" s="12">
        <f>O25*H25*10^-6</f>
        <v>9.6132155685505545</v>
      </c>
      <c r="N25" s="3">
        <f>1/M25</f>
        <v>0.10402346570397114</v>
      </c>
      <c r="O25" s="6">
        <f>1/P25</f>
        <v>24033.038921376388</v>
      </c>
      <c r="P25" s="6">
        <f>X25+AE25</f>
        <v>4.160938628158845E-5</v>
      </c>
      <c r="Q25" s="8">
        <f>P25/J25-1</f>
        <v>0</v>
      </c>
      <c r="S25" s="1">
        <f>S$6</f>
        <v>8.8000000000000007</v>
      </c>
      <c r="T25" s="2">
        <f>$C25/S25</f>
        <v>3.1477272727272725</v>
      </c>
      <c r="U25" s="3">
        <f>1/T25</f>
        <v>0.3176895306859206</v>
      </c>
      <c r="V25" s="4">
        <f>(D25/2)^2*3.14</f>
        <v>113.04</v>
      </c>
      <c r="W25" s="4">
        <f>T25/V25*10^6</f>
        <v>27846.136524480469</v>
      </c>
      <c r="X25" s="6">
        <f>U25*V25*10^-6</f>
        <v>3.5911624548736467E-5</v>
      </c>
      <c r="Z25" s="1">
        <f>Z$6</f>
        <v>0.55000000000000004</v>
      </c>
      <c r="AA25" s="2">
        <f>$C25/Z25</f>
        <v>50.36363636363636</v>
      </c>
      <c r="AB25" s="3">
        <f>1/AA25</f>
        <v>1.9855595667870037E-2</v>
      </c>
      <c r="AC25" s="1">
        <f>H25-V25</f>
        <v>286.95999999999998</v>
      </c>
      <c r="AD25" s="4">
        <f>AA25/AC25*10^6</f>
        <v>175507.51450946601</v>
      </c>
      <c r="AE25" s="6">
        <f>AB25*AC25*10^-6</f>
        <v>5.6977617328519851E-6</v>
      </c>
      <c r="AH25" s="6">
        <f>F25</f>
        <v>9.6132155685505545</v>
      </c>
      <c r="AI25" s="6">
        <f>AI23</f>
        <v>-100</v>
      </c>
      <c r="AJ25" s="6">
        <f>(AH25-AI25)*AC25</f>
        <v>31454.608339551265</v>
      </c>
    </row>
    <row r="26" spans="1:36" x14ac:dyDescent="0.2">
      <c r="A26" s="32"/>
      <c r="B26" s="9">
        <v>15</v>
      </c>
      <c r="C26" s="9">
        <v>16</v>
      </c>
      <c r="D26" s="9">
        <v>8</v>
      </c>
      <c r="E26" s="14">
        <f t="shared" si="0"/>
        <v>2.3921333333333337</v>
      </c>
      <c r="F26" s="14">
        <f t="shared" si="0"/>
        <v>6.6885903795775032</v>
      </c>
      <c r="G26" s="14">
        <f t="shared" si="0"/>
        <v>0.14950833333333335</v>
      </c>
      <c r="H26" s="1">
        <f>B26^2</f>
        <v>225</v>
      </c>
      <c r="I26" s="4">
        <f>F26/H26*10^6</f>
        <v>29727.068353677791</v>
      </c>
      <c r="J26" s="6">
        <f>G26*H26*10^-6</f>
        <v>3.3639375E-5</v>
      </c>
      <c r="L26" s="3">
        <f>C26/M26</f>
        <v>2.3921333333333337</v>
      </c>
      <c r="M26" s="12">
        <f>O26*H26*10^-6</f>
        <v>6.6885903795775032</v>
      </c>
      <c r="N26" s="3">
        <f>1/M26</f>
        <v>0.14950833333333335</v>
      </c>
      <c r="O26" s="6">
        <f>1/P26</f>
        <v>29727.068353677794</v>
      </c>
      <c r="P26" s="6">
        <f>X26+AE26</f>
        <v>3.3639375E-5</v>
      </c>
      <c r="Q26" s="8">
        <f>P26/J26-1</f>
        <v>0</v>
      </c>
      <c r="S26" s="1">
        <f>S$6</f>
        <v>8.8000000000000007</v>
      </c>
      <c r="T26" s="2">
        <f>$C26/S26</f>
        <v>1.8181818181818181</v>
      </c>
      <c r="U26" s="3">
        <f>1/T26</f>
        <v>0.55000000000000004</v>
      </c>
      <c r="V26" s="4">
        <f>(D26/2)^2*3.14</f>
        <v>50.24</v>
      </c>
      <c r="W26" s="4">
        <f>T26/V26*10^6</f>
        <v>36189.924724956574</v>
      </c>
      <c r="X26" s="6">
        <f>U26*V26*10^-6</f>
        <v>2.7632000000000002E-5</v>
      </c>
      <c r="Z26" s="1">
        <f>Z$6</f>
        <v>0.55000000000000004</v>
      </c>
      <c r="AA26" s="2">
        <f>$C26/Z26</f>
        <v>29.09090909090909</v>
      </c>
      <c r="AB26" s="3">
        <f>1/AA26</f>
        <v>3.4375000000000003E-2</v>
      </c>
      <c r="AC26" s="1">
        <f>H26-V26</f>
        <v>174.76</v>
      </c>
      <c r="AD26" s="4">
        <f>AA26/AC26*10^6</f>
        <v>166462.05705487006</v>
      </c>
      <c r="AE26" s="6">
        <f>AB26*AC26*10^-6</f>
        <v>6.0073750000000002E-6</v>
      </c>
      <c r="AH26" s="6">
        <f>F26</f>
        <v>6.6885903795775032</v>
      </c>
      <c r="AI26" s="6">
        <f>AI24</f>
        <v>-100</v>
      </c>
      <c r="AJ26" s="6">
        <f>(AH26-AI26)*AC26</f>
        <v>18644.898054734964</v>
      </c>
    </row>
    <row r="28" spans="1:36" x14ac:dyDescent="0.2">
      <c r="A28" t="s">
        <v>44</v>
      </c>
      <c r="B28" s="9">
        <v>25</v>
      </c>
      <c r="C28" s="9">
        <v>15</v>
      </c>
      <c r="D28" s="9">
        <v>16.399999999999999</v>
      </c>
      <c r="E28" s="14">
        <f t="shared" ref="E28:G31" si="1">L28</f>
        <v>3.3369635200000012</v>
      </c>
      <c r="F28" s="14">
        <f t="shared" si="1"/>
        <v>4.4951045793871893</v>
      </c>
      <c r="G28" s="14">
        <f t="shared" si="1"/>
        <v>0.22246423466666673</v>
      </c>
      <c r="H28" s="1">
        <f>B28^2</f>
        <v>625</v>
      </c>
      <c r="I28" s="4">
        <f>F28/H28*10^6</f>
        <v>7192.1673270195024</v>
      </c>
      <c r="J28" s="6">
        <f>G28*H28*10^-6</f>
        <v>1.3904014666666671E-4</v>
      </c>
      <c r="L28" s="3">
        <f>C28/M28</f>
        <v>3.3369635200000012</v>
      </c>
      <c r="M28" s="12">
        <f>O28*H28*10^-6</f>
        <v>4.4951045793871893</v>
      </c>
      <c r="N28" s="3">
        <f>1/M28</f>
        <v>0.22246423466666673</v>
      </c>
      <c r="O28" s="6">
        <f>1/P28</f>
        <v>7192.1673270195042</v>
      </c>
      <c r="P28" s="6">
        <f>X28+AE28</f>
        <v>1.3904014666666668E-4</v>
      </c>
      <c r="Q28" s="8">
        <f>P28/J28-1</f>
        <v>0</v>
      </c>
      <c r="S28" s="1">
        <f>S$6</f>
        <v>8.8000000000000007</v>
      </c>
      <c r="T28" s="2">
        <f>$C28/S28</f>
        <v>1.7045454545454544</v>
      </c>
      <c r="U28" s="3">
        <f>1/T28</f>
        <v>0.58666666666666678</v>
      </c>
      <c r="V28" s="4">
        <f>(D28/2)^2*3.14</f>
        <v>211.1336</v>
      </c>
      <c r="W28" s="4">
        <f>T28/V28*10^6</f>
        <v>8073.3026602371892</v>
      </c>
      <c r="X28" s="6">
        <f>U28*V28*10^-6</f>
        <v>1.2386504533333335E-4</v>
      </c>
      <c r="Z28" s="1">
        <f>Z$6</f>
        <v>0.55000000000000004</v>
      </c>
      <c r="AA28" s="2">
        <f>$C28/Z28</f>
        <v>27.27272727272727</v>
      </c>
      <c r="AB28" s="3">
        <f>1/AA28</f>
        <v>3.6666666666666674E-2</v>
      </c>
      <c r="AC28" s="1">
        <f>H28-V28</f>
        <v>413.8664</v>
      </c>
      <c r="AD28" s="4">
        <f>AA28/AC28*10^6</f>
        <v>65897.418279732956</v>
      </c>
      <c r="AE28" s="6">
        <f>AB28*AC28*10^-6</f>
        <v>1.5175101333333336E-5</v>
      </c>
      <c r="AH28" s="6">
        <f>F28</f>
        <v>4.4951045793871893</v>
      </c>
      <c r="AI28" s="6">
        <f>AI26</f>
        <v>-100</v>
      </c>
      <c r="AJ28" s="6">
        <f>(AH28-AI28)*AC28</f>
        <v>43247.012749894493</v>
      </c>
    </row>
    <row r="29" spans="1:36" x14ac:dyDescent="0.2">
      <c r="A29" t="s">
        <v>45</v>
      </c>
      <c r="B29" s="9">
        <v>35</v>
      </c>
      <c r="C29" s="9">
        <v>15</v>
      </c>
      <c r="D29" s="9">
        <f>D28/B28*B29</f>
        <v>22.959999999999997</v>
      </c>
      <c r="E29" s="14">
        <f t="shared" si="1"/>
        <v>3.3369635200000003</v>
      </c>
      <c r="F29" s="14">
        <f t="shared" si="1"/>
        <v>4.4951045793871902</v>
      </c>
      <c r="G29" s="14">
        <f t="shared" si="1"/>
        <v>0.2224642346666667</v>
      </c>
      <c r="H29" s="1">
        <f>B29^2</f>
        <v>1225</v>
      </c>
      <c r="I29" s="4">
        <f>F29/H29*10^6</f>
        <v>3669.4731260303593</v>
      </c>
      <c r="J29" s="6">
        <f>G29*H29*10^-6</f>
        <v>2.7251868746666673E-4</v>
      </c>
      <c r="L29" s="3">
        <f>C29/M29</f>
        <v>3.3369635200000003</v>
      </c>
      <c r="M29" s="12">
        <f>O29*H29*10^-6</f>
        <v>4.4951045793871902</v>
      </c>
      <c r="N29" s="3">
        <f>1/M29</f>
        <v>0.2224642346666667</v>
      </c>
      <c r="O29" s="6">
        <f>1/P29</f>
        <v>3669.4731260303597</v>
      </c>
      <c r="P29" s="6">
        <f>X29+AE29</f>
        <v>2.7251868746666668E-4</v>
      </c>
      <c r="Q29" s="8">
        <f>P29/J29-1</f>
        <v>0</v>
      </c>
      <c r="S29" s="1">
        <f>S$6</f>
        <v>8.8000000000000007</v>
      </c>
      <c r="T29" s="2">
        <f>$C29/S29</f>
        <v>1.7045454545454544</v>
      </c>
      <c r="U29" s="3">
        <f>1/T29</f>
        <v>0.58666666666666678</v>
      </c>
      <c r="V29" s="4">
        <f>(D29/2)^2*3.14</f>
        <v>413.82185599999997</v>
      </c>
      <c r="W29" s="4">
        <f>T29/V29*10^6</f>
        <v>4119.0319695087701</v>
      </c>
      <c r="X29" s="6">
        <f>U29*V29*10^-6</f>
        <v>2.4277548885333336E-4</v>
      </c>
      <c r="Z29" s="1">
        <f>Z$6</f>
        <v>0.55000000000000004</v>
      </c>
      <c r="AA29" s="2">
        <f>$C29/Z29</f>
        <v>27.27272727272727</v>
      </c>
      <c r="AB29" s="3">
        <f>1/AA29</f>
        <v>3.6666666666666674E-2</v>
      </c>
      <c r="AC29" s="1">
        <f>H29-V29</f>
        <v>811.17814399999997</v>
      </c>
      <c r="AD29" s="4">
        <f>AA29/AC29*10^6</f>
        <v>33621.131775373957</v>
      </c>
      <c r="AE29" s="6">
        <f>AB29*AC29*10^-6</f>
        <v>2.9743198613333336E-5</v>
      </c>
      <c r="AH29" s="6">
        <f>F29</f>
        <v>4.4951045793871902</v>
      </c>
      <c r="AI29" s="6">
        <f>AI27</f>
        <v>0</v>
      </c>
      <c r="AJ29" s="6">
        <f>(AH29-AI29)*AC29</f>
        <v>3646.3305897932014</v>
      </c>
    </row>
    <row r="30" spans="1:36" x14ac:dyDescent="0.2">
      <c r="A30" t="s">
        <v>48</v>
      </c>
      <c r="B30" s="9">
        <v>25</v>
      </c>
      <c r="C30" s="9">
        <v>15</v>
      </c>
      <c r="D30" s="9">
        <v>16.399999999999999</v>
      </c>
      <c r="E30" s="14">
        <f t="shared" si="1"/>
        <v>3.7681082769873351</v>
      </c>
      <c r="F30" s="14">
        <f t="shared" si="1"/>
        <v>3.9807773284032986</v>
      </c>
      <c r="G30" s="14">
        <f t="shared" si="1"/>
        <v>0.25120721846582234</v>
      </c>
      <c r="H30" s="4">
        <f>B30^2/2*SQRT(3)</f>
        <v>541.26587736527415</v>
      </c>
      <c r="I30" s="4">
        <f>F30/H30*10^6</f>
        <v>7354.5691588403315</v>
      </c>
      <c r="J30" s="6">
        <f>G30*H30*10^-6</f>
        <v>1.3596989550339342E-4</v>
      </c>
      <c r="L30" s="3">
        <f>C30/M30</f>
        <v>3.7681082769873351</v>
      </c>
      <c r="M30" s="12">
        <f>O30*H30*10^-6</f>
        <v>3.9807773284032986</v>
      </c>
      <c r="N30" s="3">
        <f>1/M30</f>
        <v>0.25120721846582234</v>
      </c>
      <c r="O30" s="6">
        <f>1/P30</f>
        <v>7354.5691588403324</v>
      </c>
      <c r="P30" s="6">
        <f>X30+AE30</f>
        <v>1.3596989550339342E-4</v>
      </c>
      <c r="Q30" s="8">
        <f>P30/J30-1</f>
        <v>0</v>
      </c>
      <c r="S30" s="1">
        <f>S$6</f>
        <v>8.8000000000000007</v>
      </c>
      <c r="T30" s="2">
        <f>$C30/S30</f>
        <v>1.7045454545454544</v>
      </c>
      <c r="U30" s="3">
        <f>1/T30</f>
        <v>0.58666666666666678</v>
      </c>
      <c r="V30" s="4">
        <f>(D30/2)^2*3.14</f>
        <v>211.1336</v>
      </c>
      <c r="W30" s="4">
        <f>T30/V30*10^6</f>
        <v>8073.3026602371892</v>
      </c>
      <c r="X30" s="6">
        <f>U30*V30*10^-6</f>
        <v>1.2386504533333335E-4</v>
      </c>
      <c r="Z30" s="1">
        <f>Z$6</f>
        <v>0.55000000000000004</v>
      </c>
      <c r="AA30" s="2">
        <f>$C30/Z30</f>
        <v>27.27272727272727</v>
      </c>
      <c r="AB30" s="3">
        <f>1/AA30</f>
        <v>3.6666666666666674E-2</v>
      </c>
      <c r="AC30" s="1">
        <f>H30-V30</f>
        <v>330.13227736527415</v>
      </c>
      <c r="AD30" s="4">
        <f>AA30/AC30*10^6</f>
        <v>82611.514058503948</v>
      </c>
      <c r="AE30" s="6">
        <f>AB30*AC30*10^-6</f>
        <v>1.2104850170060053E-5</v>
      </c>
      <c r="AH30" s="6">
        <f>F30</f>
        <v>3.9807773284032986</v>
      </c>
      <c r="AI30" s="6">
        <f>AI27</f>
        <v>0</v>
      </c>
      <c r="AJ30" s="6">
        <f>(AH30-AI30)*AC30</f>
        <v>1314.1830851098327</v>
      </c>
    </row>
    <row r="31" spans="1:36" x14ac:dyDescent="0.2">
      <c r="A31" t="s">
        <v>49</v>
      </c>
      <c r="B31" s="9">
        <v>25</v>
      </c>
      <c r="C31" s="9">
        <v>15</v>
      </c>
      <c r="D31" s="9">
        <v>16.399999999999999</v>
      </c>
      <c r="E31" s="14">
        <f t="shared" si="1"/>
        <v>4.1035677251881788</v>
      </c>
      <c r="F31" s="14">
        <f t="shared" si="1"/>
        <v>3.6553557792962073</v>
      </c>
      <c r="G31" s="14">
        <f t="shared" si="1"/>
        <v>0.27357118167921191</v>
      </c>
      <c r="H31" s="4">
        <f>B31^2/2*SQRT(3)</f>
        <v>541.26587736527415</v>
      </c>
      <c r="I31" s="4">
        <f>F31/H31*10^6</f>
        <v>6753.3460581136624</v>
      </c>
      <c r="J31" s="6">
        <f>G31*H31*10^-6</f>
        <v>1.4807474567345342E-4</v>
      </c>
      <c r="L31" s="3">
        <f>C31/M31</f>
        <v>4.1035677251881788</v>
      </c>
      <c r="M31" s="12">
        <f>O31*H31*10^-6</f>
        <v>3.6553557792962073</v>
      </c>
      <c r="N31" s="3">
        <f>1/M31</f>
        <v>0.27357118167921191</v>
      </c>
      <c r="O31" s="6">
        <f>1/P31</f>
        <v>6753.3460581136624</v>
      </c>
      <c r="P31" s="6">
        <f>X31+AE31</f>
        <v>1.4807474567345345E-4</v>
      </c>
      <c r="Q31" s="8">
        <f>P31/J31-1</f>
        <v>0</v>
      </c>
      <c r="S31" s="1">
        <f>S$6</f>
        <v>8.8000000000000007</v>
      </c>
      <c r="T31" s="2">
        <f>$C31/S31</f>
        <v>1.7045454545454544</v>
      </c>
      <c r="U31" s="3">
        <f>1/T31</f>
        <v>0.58666666666666678</v>
      </c>
      <c r="V31" s="4">
        <f>(D31/2)^2*3.14</f>
        <v>211.1336</v>
      </c>
      <c r="W31" s="4">
        <f>T31/V31*10^6</f>
        <v>8073.3026602371892</v>
      </c>
      <c r="X31" s="6">
        <f>U31*V31*10^-6</f>
        <v>1.2386504533333335E-4</v>
      </c>
      <c r="Z31" s="1">
        <v>1.1000000000000001</v>
      </c>
      <c r="AA31" s="2">
        <f>$C31/Z31</f>
        <v>13.636363636363635</v>
      </c>
      <c r="AB31" s="3">
        <f>1/AA31</f>
        <v>7.3333333333333348E-2</v>
      </c>
      <c r="AC31" s="1">
        <f>H31-V31</f>
        <v>330.13227736527415</v>
      </c>
      <c r="AD31" s="4">
        <f>AA31/AC31*10^6</f>
        <v>41305.757029251974</v>
      </c>
      <c r="AE31" s="6">
        <f>AB31*AC31*10^-6</f>
        <v>2.4209700340120106E-5</v>
      </c>
      <c r="AH31" s="6">
        <f>F31</f>
        <v>3.6553557792962073</v>
      </c>
      <c r="AI31" s="6">
        <f>AI28</f>
        <v>-100</v>
      </c>
      <c r="AJ31" s="6">
        <f>(AH31-AI31)*AC31</f>
        <v>34219.978664526789</v>
      </c>
    </row>
    <row r="32" spans="1:36" x14ac:dyDescent="0.2">
      <c r="B32"/>
    </row>
    <row r="34" spans="1:36" x14ac:dyDescent="0.2">
      <c r="A34" s="32" t="s">
        <v>47</v>
      </c>
      <c r="B34" s="9">
        <v>25</v>
      </c>
      <c r="C34" s="9">
        <v>25</v>
      </c>
      <c r="D34" s="9">
        <v>12</v>
      </c>
      <c r="E34" s="14">
        <f t="shared" ref="E34:G36" si="2">L34</f>
        <v>2.0421280000000004</v>
      </c>
      <c r="F34" s="14">
        <f t="shared" si="2"/>
        <v>12.242131737089936</v>
      </c>
      <c r="G34" s="14">
        <f t="shared" si="2"/>
        <v>8.1685120000000014E-2</v>
      </c>
      <c r="H34" s="1">
        <f>B34^2</f>
        <v>625</v>
      </c>
      <c r="I34" s="4">
        <f>F34/H34*10^6</f>
        <v>19587.4107793439</v>
      </c>
      <c r="J34" s="6">
        <f>G34*H34*10^-6</f>
        <v>5.1053200000000008E-5</v>
      </c>
      <c r="K34" s="5"/>
      <c r="L34" s="3">
        <f>C34/M34</f>
        <v>2.0421280000000004</v>
      </c>
      <c r="M34" s="12">
        <f>O34*H34*10^-6</f>
        <v>12.242131737089936</v>
      </c>
      <c r="N34" s="3">
        <f>1/M34</f>
        <v>8.1685120000000014E-2</v>
      </c>
      <c r="O34" s="6">
        <f>1/P34</f>
        <v>19587.4107793439</v>
      </c>
      <c r="P34" s="6">
        <f>X34+AE34</f>
        <v>5.1053200000000001E-5</v>
      </c>
      <c r="Q34" s="8">
        <f>P34/J34-1</f>
        <v>0</v>
      </c>
      <c r="R34" s="6"/>
      <c r="S34" s="1">
        <f>S$6</f>
        <v>8.8000000000000007</v>
      </c>
      <c r="T34" s="2">
        <f>$C34/S34</f>
        <v>2.8409090909090908</v>
      </c>
      <c r="U34" s="3">
        <f>1/T34</f>
        <v>0.35200000000000004</v>
      </c>
      <c r="V34" s="4">
        <f>(D34/2)^2*3.14</f>
        <v>113.04</v>
      </c>
      <c r="W34" s="4">
        <f>T34/V34*10^6</f>
        <v>25131.892170108727</v>
      </c>
      <c r="X34" s="6">
        <f>U34*V34*10^-6</f>
        <v>3.9790080000000002E-5</v>
      </c>
      <c r="Z34" s="9">
        <v>0.55000000000000004</v>
      </c>
      <c r="AA34" s="2">
        <f>$C34/Z34</f>
        <v>45.454545454545453</v>
      </c>
      <c r="AB34" s="3">
        <f>1/AA34</f>
        <v>2.2000000000000002E-2</v>
      </c>
      <c r="AC34" s="4">
        <f>H34-V34</f>
        <v>511.96</v>
      </c>
      <c r="AD34" s="4">
        <f>AA34/AC34*10^6</f>
        <v>88785.345446022067</v>
      </c>
      <c r="AE34" s="6">
        <f>AB34*AC34*10^-6</f>
        <v>1.126312E-5</v>
      </c>
      <c r="AH34" s="6">
        <f>F34</f>
        <v>12.242131737089936</v>
      </c>
      <c r="AI34" s="6">
        <v>-100</v>
      </c>
      <c r="AJ34" s="6">
        <f>(AH34-AI34)*AC34</f>
        <v>57463.481764120559</v>
      </c>
    </row>
    <row r="35" spans="1:36" x14ac:dyDescent="0.2">
      <c r="A35" s="32"/>
      <c r="B35" s="9">
        <v>25</v>
      </c>
      <c r="C35" s="9">
        <v>25</v>
      </c>
      <c r="D35" s="9">
        <v>14</v>
      </c>
      <c r="E35" s="14">
        <f t="shared" si="2"/>
        <v>2.5809520000000004</v>
      </c>
      <c r="F35" s="14">
        <f t="shared" si="2"/>
        <v>9.6863482931879386</v>
      </c>
      <c r="G35" s="14">
        <f t="shared" si="2"/>
        <v>0.10323808000000001</v>
      </c>
      <c r="H35" s="1">
        <f>B35^2</f>
        <v>625</v>
      </c>
      <c r="I35" s="4">
        <f>F35/H35*10^6</f>
        <v>15498.157269100702</v>
      </c>
      <c r="J35" s="6">
        <f>G35*H35*10^-6</f>
        <v>6.4523800000000007E-5</v>
      </c>
      <c r="L35" s="3">
        <f>C35/M35</f>
        <v>2.5809520000000004</v>
      </c>
      <c r="M35" s="12">
        <f>O35*H35*10^-6</f>
        <v>9.6863482931879386</v>
      </c>
      <c r="N35" s="3">
        <f>1/M35</f>
        <v>0.10323808000000001</v>
      </c>
      <c r="O35" s="6">
        <f>1/P35</f>
        <v>15498.157269100702</v>
      </c>
      <c r="P35" s="6">
        <f>X35+AE35</f>
        <v>6.4523800000000007E-5</v>
      </c>
      <c r="Q35" s="8">
        <f>P35/J35-1</f>
        <v>0</v>
      </c>
      <c r="S35" s="1">
        <f>S$6</f>
        <v>8.8000000000000007</v>
      </c>
      <c r="T35" s="2">
        <f>$C35/S35</f>
        <v>2.8409090909090908</v>
      </c>
      <c r="U35" s="3">
        <f>1/T35</f>
        <v>0.35200000000000004</v>
      </c>
      <c r="V35" s="4">
        <f>(D35/2)^2*3.14</f>
        <v>153.86000000000001</v>
      </c>
      <c r="W35" s="4">
        <f>T35/V35*10^6</f>
        <v>18464.247308651309</v>
      </c>
      <c r="X35" s="6">
        <f>U35*V35*10^-6</f>
        <v>5.4158720000000009E-5</v>
      </c>
      <c r="Z35" s="1">
        <f>Z$6</f>
        <v>0.55000000000000004</v>
      </c>
      <c r="AA35" s="2">
        <f>$C35/Z35</f>
        <v>45.454545454545453</v>
      </c>
      <c r="AB35" s="3">
        <f>1/AA35</f>
        <v>2.2000000000000002E-2</v>
      </c>
      <c r="AC35" s="1">
        <f>H35-V35</f>
        <v>471.14</v>
      </c>
      <c r="AD35" s="4">
        <f>AA35/AC35*10^6</f>
        <v>96477.788883443252</v>
      </c>
      <c r="AE35" s="6">
        <f>AB35*AC35*10^-6</f>
        <v>1.036508E-5</v>
      </c>
      <c r="AH35" s="6">
        <f>F35</f>
        <v>9.6863482931879386</v>
      </c>
      <c r="AI35" s="6">
        <f>AI34</f>
        <v>-100</v>
      </c>
      <c r="AJ35" s="6">
        <f>(AH35-AI35)*AC35</f>
        <v>51677.626134852559</v>
      </c>
    </row>
    <row r="36" spans="1:36" x14ac:dyDescent="0.2">
      <c r="A36" s="32"/>
      <c r="B36" s="9">
        <v>25</v>
      </c>
      <c r="C36" s="9">
        <v>20</v>
      </c>
      <c r="D36" s="9">
        <v>14</v>
      </c>
      <c r="E36" s="14">
        <f t="shared" si="2"/>
        <v>2.5809520000000008</v>
      </c>
      <c r="F36" s="14">
        <f t="shared" si="2"/>
        <v>7.7490786345503491</v>
      </c>
      <c r="G36" s="14">
        <f t="shared" si="2"/>
        <v>0.12904760000000004</v>
      </c>
      <c r="H36" s="1">
        <f>B36^2</f>
        <v>625</v>
      </c>
      <c r="I36" s="4">
        <f>F36/H36*10^6</f>
        <v>12398.525815280558</v>
      </c>
      <c r="J36" s="6">
        <f>G36*H36*10^-6</f>
        <v>8.0654750000000016E-5</v>
      </c>
      <c r="L36" s="3">
        <f>C36/M36</f>
        <v>2.5809520000000008</v>
      </c>
      <c r="M36" s="12">
        <f>O36*H36*10^-6</f>
        <v>7.7490786345503491</v>
      </c>
      <c r="N36" s="3">
        <f>1/M36</f>
        <v>0.12904760000000004</v>
      </c>
      <c r="O36" s="6">
        <f>1/P36</f>
        <v>12398.52581528056</v>
      </c>
      <c r="P36" s="6">
        <f>X36+AE36</f>
        <v>8.0654750000000016E-5</v>
      </c>
      <c r="Q36" s="8">
        <f>P36/J36-1</f>
        <v>0</v>
      </c>
      <c r="S36" s="1">
        <f>S$6</f>
        <v>8.8000000000000007</v>
      </c>
      <c r="T36" s="2">
        <f>$C36/S36</f>
        <v>2.2727272727272725</v>
      </c>
      <c r="U36" s="3">
        <f>1/T36</f>
        <v>0.44000000000000006</v>
      </c>
      <c r="V36" s="4">
        <f>(D36/2)^2*3.14</f>
        <v>153.86000000000001</v>
      </c>
      <c r="W36" s="4">
        <f>T36/V36*10^6</f>
        <v>14771.397846921047</v>
      </c>
      <c r="X36" s="6">
        <f>U36*V36*10^-6</f>
        <v>6.7698400000000016E-5</v>
      </c>
      <c r="Z36" s="1">
        <f>Z$6</f>
        <v>0.55000000000000004</v>
      </c>
      <c r="AA36" s="2">
        <f>$C36/Z36</f>
        <v>36.36363636363636</v>
      </c>
      <c r="AB36" s="3">
        <f>1/AA36</f>
        <v>2.7500000000000004E-2</v>
      </c>
      <c r="AC36" s="1">
        <f>H36-V36</f>
        <v>471.14</v>
      </c>
      <c r="AD36" s="4">
        <f>AA36/AC36*10^6</f>
        <v>77182.231106754596</v>
      </c>
      <c r="AE36" s="6">
        <f>AB36*AC36*10^-6</f>
        <v>1.295635E-5</v>
      </c>
      <c r="AH36" s="6">
        <f>F36</f>
        <v>7.7490786345503491</v>
      </c>
      <c r="AI36" s="6">
        <f>AI34</f>
        <v>-100</v>
      </c>
      <c r="AJ36" s="6">
        <f>(AH36-AI36)*AC36</f>
        <v>50764.900907882045</v>
      </c>
    </row>
  </sheetData>
  <mergeCells count="12">
    <mergeCell ref="S19:X19"/>
    <mergeCell ref="Z19:AE19"/>
    <mergeCell ref="A23:A26"/>
    <mergeCell ref="A19:A22"/>
    <mergeCell ref="B2:J2"/>
    <mergeCell ref="S2:X2"/>
    <mergeCell ref="Z2:AE2"/>
    <mergeCell ref="A34:A36"/>
    <mergeCell ref="L2:Q2"/>
    <mergeCell ref="A2:A8"/>
    <mergeCell ref="B19:J19"/>
    <mergeCell ref="L19:Q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0170-E6B6-1A40-9E8D-95018582C0A8}">
  <dimension ref="A2:AS64"/>
  <sheetViews>
    <sheetView zoomScale="140" zoomScaleNormal="140" workbookViewId="0">
      <pane xSplit="3" topLeftCell="D1" activePane="topRight" state="frozen"/>
      <selection pane="topRight" activeCell="W50" sqref="W50"/>
    </sheetView>
  </sheetViews>
  <sheetFormatPr baseColWidth="10" defaultRowHeight="16" outlineLevelCol="1" x14ac:dyDescent="0.2"/>
  <cols>
    <col min="1" max="1" width="29" style="23" bestFit="1" customWidth="1"/>
    <col min="2" max="3" width="10.83203125" style="23"/>
    <col min="4" max="4" width="10.83203125" style="15" customWidth="1"/>
    <col min="5" max="8" width="10.83203125" style="15"/>
    <col min="9" max="10" width="10.83203125" style="15" outlineLevel="1"/>
    <col min="11" max="14" width="10.83203125" style="15"/>
    <col min="15" max="16" width="10.83203125" style="15" customWidth="1"/>
    <col min="17" max="18" width="10.83203125" style="15"/>
    <col min="19" max="21" width="10.83203125" style="15" customWidth="1" outlineLevel="1"/>
    <col min="22" max="22" width="10.83203125" style="15"/>
    <col min="23" max="24" width="10.83203125" style="15" customWidth="1" outlineLevel="1"/>
    <col min="25" max="30" width="10.83203125" style="15" customWidth="1"/>
    <col min="31" max="31" width="10.83203125" style="15"/>
    <col min="32" max="33" width="10.83203125" style="15" customWidth="1" outlineLevel="1"/>
    <col min="34" max="34" width="10.83203125" style="15" customWidth="1" outlineLevel="1" collapsed="1"/>
    <col min="35" max="38" width="10.83203125" style="15"/>
    <col min="39" max="39" width="10.83203125" style="15" customWidth="1" outlineLevel="1"/>
    <col min="40" max="41" width="10.83203125" style="23" customWidth="1" outlineLevel="1"/>
    <col min="42" max="42" width="10.83203125" style="23"/>
    <col min="43" max="44" width="10.83203125" style="23" customWidth="1" outlineLevel="1"/>
    <col min="45" max="16384" width="10.83203125" style="23"/>
  </cols>
  <sheetData>
    <row r="2" spans="1:45" s="11" customFormat="1" ht="34" x14ac:dyDescent="0.2">
      <c r="B2" s="10" t="s">
        <v>77</v>
      </c>
      <c r="C2" s="10" t="s">
        <v>90</v>
      </c>
      <c r="D2" s="10" t="s">
        <v>60</v>
      </c>
      <c r="E2" s="10" t="s">
        <v>58</v>
      </c>
      <c r="F2" s="10"/>
      <c r="G2" s="10" t="s">
        <v>62</v>
      </c>
      <c r="H2" s="10" t="s">
        <v>81</v>
      </c>
      <c r="I2" s="15" t="s">
        <v>76</v>
      </c>
      <c r="J2" s="15" t="s">
        <v>83</v>
      </c>
      <c r="K2" s="15" t="s">
        <v>27</v>
      </c>
      <c r="L2" s="15" t="s">
        <v>82</v>
      </c>
      <c r="M2" s="10" t="s">
        <v>57</v>
      </c>
      <c r="N2" s="10" t="s">
        <v>59</v>
      </c>
      <c r="O2" s="10" t="s">
        <v>61</v>
      </c>
      <c r="P2" s="10" t="s">
        <v>94</v>
      </c>
      <c r="Q2" s="10" t="s">
        <v>50</v>
      </c>
      <c r="R2" s="10" t="s">
        <v>51</v>
      </c>
      <c r="S2" s="10" t="s">
        <v>52</v>
      </c>
      <c r="T2" s="10" t="s">
        <v>110</v>
      </c>
      <c r="U2" s="10" t="s">
        <v>53</v>
      </c>
      <c r="V2" s="10" t="s">
        <v>79</v>
      </c>
      <c r="W2" s="10" t="s">
        <v>70</v>
      </c>
      <c r="X2" s="10"/>
      <c r="Y2" s="10" t="s">
        <v>95</v>
      </c>
      <c r="Z2" s="15" t="s">
        <v>56</v>
      </c>
      <c r="AA2" s="15" t="s">
        <v>71</v>
      </c>
      <c r="AB2" s="15" t="s">
        <v>85</v>
      </c>
      <c r="AC2" s="15" t="s">
        <v>24</v>
      </c>
      <c r="AD2" s="15" t="s">
        <v>96</v>
      </c>
      <c r="AE2" s="10" t="s">
        <v>84</v>
      </c>
      <c r="AF2" s="10" t="s">
        <v>56</v>
      </c>
      <c r="AG2" s="10" t="s">
        <v>54</v>
      </c>
      <c r="AH2" s="10"/>
      <c r="AI2" s="10" t="s">
        <v>97</v>
      </c>
      <c r="AJ2" s="10" t="s">
        <v>86</v>
      </c>
      <c r="AK2" s="10"/>
      <c r="AL2" s="10" t="s">
        <v>72</v>
      </c>
      <c r="AM2" s="10" t="s">
        <v>71</v>
      </c>
      <c r="AN2" s="10" t="s">
        <v>55</v>
      </c>
      <c r="AO2" s="10"/>
      <c r="AP2" s="10" t="s">
        <v>69</v>
      </c>
      <c r="AQ2" s="10" t="s">
        <v>73</v>
      </c>
    </row>
    <row r="3" spans="1:45" ht="19" x14ac:dyDescent="0.2">
      <c r="B3" s="15" t="s">
        <v>78</v>
      </c>
      <c r="C3" s="15"/>
      <c r="D3" s="15" t="s">
        <v>89</v>
      </c>
      <c r="E3" s="15" t="s">
        <v>63</v>
      </c>
      <c r="F3" s="15" t="s">
        <v>87</v>
      </c>
      <c r="G3" s="15" t="s">
        <v>88</v>
      </c>
      <c r="H3" s="15" t="s">
        <v>18</v>
      </c>
      <c r="I3" s="15" t="s">
        <v>21</v>
      </c>
      <c r="J3" s="15" t="s">
        <v>21</v>
      </c>
      <c r="K3" s="15" t="s">
        <v>9</v>
      </c>
      <c r="L3" s="15" t="s">
        <v>9</v>
      </c>
      <c r="M3" s="15" t="s">
        <v>9</v>
      </c>
      <c r="N3" s="15" t="s">
        <v>64</v>
      </c>
      <c r="O3" s="15" t="s">
        <v>65</v>
      </c>
      <c r="P3" s="15" t="s">
        <v>74</v>
      </c>
      <c r="Q3" s="15" t="s">
        <v>67</v>
      </c>
      <c r="R3" s="15" t="s">
        <v>66</v>
      </c>
      <c r="S3" s="15" t="s">
        <v>67</v>
      </c>
      <c r="U3" s="15" t="s">
        <v>67</v>
      </c>
      <c r="V3" s="15" t="s">
        <v>80</v>
      </c>
      <c r="W3" s="15" t="s">
        <v>75</v>
      </c>
      <c r="Y3" s="15" t="s">
        <v>10</v>
      </c>
      <c r="Z3" s="15" t="s">
        <v>10</v>
      </c>
      <c r="AA3" s="15" t="s">
        <v>10</v>
      </c>
      <c r="AB3" s="15" t="s">
        <v>12</v>
      </c>
      <c r="AC3" s="15" t="s">
        <v>12</v>
      </c>
      <c r="AD3" s="15" t="s">
        <v>12</v>
      </c>
      <c r="AE3" s="15" t="s">
        <v>7</v>
      </c>
      <c r="AF3" s="15" t="s">
        <v>68</v>
      </c>
      <c r="AG3" s="15" t="s">
        <v>11</v>
      </c>
      <c r="AI3" s="15" t="s">
        <v>68</v>
      </c>
      <c r="AJ3" s="15" t="s">
        <v>11</v>
      </c>
      <c r="AL3" s="15" t="s">
        <v>7</v>
      </c>
      <c r="AM3" s="15" t="s">
        <v>68</v>
      </c>
      <c r="AN3" s="15" t="s">
        <v>11</v>
      </c>
      <c r="AO3" s="15"/>
      <c r="AP3" s="15" t="s">
        <v>11</v>
      </c>
      <c r="AQ3" s="15" t="s">
        <v>7</v>
      </c>
    </row>
    <row r="4" spans="1:45" x14ac:dyDescent="0.2">
      <c r="A4" s="34" t="s">
        <v>92</v>
      </c>
      <c r="B4" s="16">
        <f>AP4*G4*10^-3</f>
        <v>5.8544080617010978</v>
      </c>
      <c r="C4" s="24"/>
      <c r="D4" s="25">
        <v>8</v>
      </c>
      <c r="E4" s="25">
        <v>2.25</v>
      </c>
      <c r="F4" s="15">
        <f>P4*S4/8</f>
        <v>204.8</v>
      </c>
      <c r="G4" s="15">
        <f>F4*O4*8</f>
        <v>655.36000000000013</v>
      </c>
      <c r="H4" s="17">
        <v>9.9999999999999995E-8</v>
      </c>
      <c r="I4" s="25">
        <v>8.8000000000000007</v>
      </c>
      <c r="J4" s="25">
        <v>0.55000000000000004</v>
      </c>
      <c r="K4" s="15">
        <v>26</v>
      </c>
      <c r="L4" s="15">
        <v>25</v>
      </c>
      <c r="M4" s="25">
        <v>12</v>
      </c>
      <c r="N4" s="26">
        <f>D4/E4</f>
        <v>3.5555555555555554</v>
      </c>
      <c r="O4" s="25">
        <v>0.4</v>
      </c>
      <c r="P4" s="25">
        <v>1.6</v>
      </c>
      <c r="Q4" s="25">
        <f>512</f>
        <v>512</v>
      </c>
      <c r="R4" s="25">
        <v>2</v>
      </c>
      <c r="S4" s="15">
        <f>R4*Q4</f>
        <v>1024</v>
      </c>
      <c r="U4" s="15">
        <f>IF(T4,Q4*2,0)</f>
        <v>0</v>
      </c>
      <c r="V4" s="15">
        <f>F4/D4</f>
        <v>25.6</v>
      </c>
      <c r="W4" s="15">
        <f>G4/N4</f>
        <v>184.32000000000005</v>
      </c>
      <c r="Y4" s="27">
        <f>L4^2*SQRT(3)/2</f>
        <v>541.26587736527415</v>
      </c>
      <c r="Z4" s="27">
        <f>M4^2/4*3.14</f>
        <v>113.04</v>
      </c>
      <c r="AA4" s="27">
        <f>Y4-Z4</f>
        <v>428.22587736527413</v>
      </c>
      <c r="AB4" s="28">
        <f>I4/K4*Z4*10^-6</f>
        <v>3.8259692307692308E-5</v>
      </c>
      <c r="AC4" s="28">
        <f>J4/K4*AA4*10^-6</f>
        <v>9.0586243288808E-6</v>
      </c>
      <c r="AD4" s="28">
        <f>AB4+AC4</f>
        <v>4.7318316636573105E-5</v>
      </c>
      <c r="AE4" s="16">
        <f>1/AD4*Y4*10^-6</f>
        <v>11.4388236065634</v>
      </c>
      <c r="AF4" s="29">
        <f>Y4*10^-6*(S4+U4)</f>
        <v>0.55425625842204074</v>
      </c>
      <c r="AG4" s="26">
        <f>AE4/AF4</f>
        <v>20.638149651443825</v>
      </c>
      <c r="AH4" s="26"/>
      <c r="AI4" s="18">
        <f>(N4-AF4)*H4</f>
        <v>3.0012992971335144E-7</v>
      </c>
      <c r="AJ4" s="18">
        <f>AE4/AI4</f>
        <v>38112905.358983725</v>
      </c>
      <c r="AK4" s="18"/>
      <c r="AL4" s="16">
        <f>$K4/J4</f>
        <v>47.272727272727266</v>
      </c>
      <c r="AM4" s="16">
        <f>N4-AF4-AI4</f>
        <v>3.0012989970035848</v>
      </c>
      <c r="AN4" s="26">
        <f>AL4/AM4</f>
        <v>15.750755696091282</v>
      </c>
      <c r="AO4" s="26"/>
      <c r="AP4" s="16">
        <f>1/(1/AG4+1/AJ4+1/AN4)</f>
        <v>8.9331177699296518</v>
      </c>
      <c r="AQ4" s="16">
        <f>AP4*N4</f>
        <v>31.762196515305426</v>
      </c>
      <c r="AS4" s="24"/>
    </row>
    <row r="5" spans="1:45" x14ac:dyDescent="0.2">
      <c r="A5" s="35"/>
      <c r="B5" s="16">
        <f>AP5*G5*10^-3</f>
        <v>2.1084041020702164</v>
      </c>
      <c r="C5" s="17">
        <f>B5/B4</f>
        <v>0.36013958710243776</v>
      </c>
      <c r="D5" s="25">
        <v>8</v>
      </c>
      <c r="E5" s="25">
        <v>2.25</v>
      </c>
      <c r="F5" s="15">
        <f>P5*S5/8</f>
        <v>204.8</v>
      </c>
      <c r="G5" s="15">
        <f>F5*O5*8</f>
        <v>655.36000000000013</v>
      </c>
      <c r="H5" s="17">
        <v>0.99999990000000005</v>
      </c>
      <c r="I5" s="25">
        <v>8.8000000000000007</v>
      </c>
      <c r="J5" s="25">
        <v>0.55000000000000004</v>
      </c>
      <c r="K5" s="15">
        <v>26</v>
      </c>
      <c r="L5" s="15">
        <v>25</v>
      </c>
      <c r="M5" s="25">
        <v>12</v>
      </c>
      <c r="N5" s="26">
        <f>D5/E5</f>
        <v>3.5555555555555554</v>
      </c>
      <c r="O5" s="25">
        <v>0.4</v>
      </c>
      <c r="P5" s="25">
        <v>1.6</v>
      </c>
      <c r="Q5" s="25">
        <f>512</f>
        <v>512</v>
      </c>
      <c r="R5" s="25">
        <v>2</v>
      </c>
      <c r="S5" s="15">
        <f>R5*Q5</f>
        <v>1024</v>
      </c>
      <c r="U5" s="15">
        <f>IF(T5,Q5*2,0)</f>
        <v>0</v>
      </c>
      <c r="V5" s="15">
        <f>F5/D5</f>
        <v>25.6</v>
      </c>
      <c r="W5" s="15">
        <f>G5/N5</f>
        <v>184.32000000000005</v>
      </c>
      <c r="Y5" s="27">
        <f>L5^2*SQRT(3)/2</f>
        <v>541.26587736527415</v>
      </c>
      <c r="Z5" s="27">
        <f>M5^2/4*3.14</f>
        <v>113.04</v>
      </c>
      <c r="AA5" s="27">
        <f>Y5-Z5</f>
        <v>428.22587736527413</v>
      </c>
      <c r="AB5" s="28">
        <f>I5/K5*Z5*10^-6</f>
        <v>3.8259692307692308E-5</v>
      </c>
      <c r="AC5" s="28">
        <f>J5/K5*AA5*10^-6</f>
        <v>9.0586243288808E-6</v>
      </c>
      <c r="AD5" s="28">
        <f>AB5+AC5</f>
        <v>4.7318316636573105E-5</v>
      </c>
      <c r="AE5" s="16">
        <f>1/AD5*Y5*10^-6</f>
        <v>11.4388236065634</v>
      </c>
      <c r="AF5" s="29">
        <f>Y5*10^-6*(S5+U5)</f>
        <v>0.55425625842204074</v>
      </c>
      <c r="AG5" s="26">
        <f>AE5/AF5</f>
        <v>20.638149651443825</v>
      </c>
      <c r="AH5" s="26"/>
      <c r="AI5" s="18">
        <f>(N5-AF5)*H5</f>
        <v>3.0012989970035853</v>
      </c>
      <c r="AJ5" s="18">
        <f>AE5/AI5</f>
        <v>3.8112909170274629</v>
      </c>
      <c r="AK5" s="18"/>
      <c r="AL5" s="16">
        <f>$K5/J5</f>
        <v>47.272727272727266</v>
      </c>
      <c r="AM5" s="16">
        <f>N5-AF5-AI5</f>
        <v>3.0012992935368743E-7</v>
      </c>
      <c r="AN5" s="26">
        <f>AL5/AM5</f>
        <v>157507541.39890802</v>
      </c>
      <c r="AO5" s="26"/>
      <c r="AP5" s="16">
        <f>1/(1/AG5+1/AJ5+1/AN5)</f>
        <v>3.2171693451999146</v>
      </c>
      <c r="AQ5" s="16">
        <f>AP5*N5</f>
        <v>11.438824338488585</v>
      </c>
      <c r="AS5" s="24"/>
    </row>
    <row r="6" spans="1:45" ht="5" customHeight="1" x14ac:dyDescent="0.2">
      <c r="A6" s="35"/>
      <c r="B6" s="30"/>
    </row>
    <row r="7" spans="1:45" x14ac:dyDescent="0.2">
      <c r="A7" s="35"/>
      <c r="B7" s="16">
        <f>AP7*G7*10^-3</f>
        <v>4.7258500942996413</v>
      </c>
      <c r="C7" s="17">
        <f>B7/B4</f>
        <v>0.80722936366797515</v>
      </c>
      <c r="D7" s="25">
        <v>8</v>
      </c>
      <c r="E7" s="25">
        <v>1.66</v>
      </c>
      <c r="F7" s="15">
        <f>P7*S7/8</f>
        <v>204.8</v>
      </c>
      <c r="G7" s="15">
        <f>F7*O7*8</f>
        <v>655.36000000000013</v>
      </c>
      <c r="H7" s="17">
        <v>9.9999999999999995E-8</v>
      </c>
      <c r="I7" s="25">
        <v>8.8000000000000007</v>
      </c>
      <c r="J7" s="25">
        <v>0.55000000000000004</v>
      </c>
      <c r="K7" s="15">
        <v>26</v>
      </c>
      <c r="L7" s="15">
        <v>25</v>
      </c>
      <c r="M7" s="25">
        <v>12</v>
      </c>
      <c r="N7" s="26">
        <f>D7/E7</f>
        <v>4.8192771084337354</v>
      </c>
      <c r="O7" s="25">
        <v>0.4</v>
      </c>
      <c r="P7" s="25">
        <v>1.6</v>
      </c>
      <c r="Q7" s="25">
        <f>512</f>
        <v>512</v>
      </c>
      <c r="R7" s="25">
        <v>2</v>
      </c>
      <c r="S7" s="15">
        <f>R7*Q7</f>
        <v>1024</v>
      </c>
      <c r="U7" s="15">
        <f>IF(T7,Q7*2,0)</f>
        <v>0</v>
      </c>
      <c r="V7" s="15">
        <f>F7/D7</f>
        <v>25.6</v>
      </c>
      <c r="W7" s="15">
        <f>G7/N7</f>
        <v>135.9872</v>
      </c>
      <c r="Y7" s="27">
        <f>L7^2*SQRT(3)/2</f>
        <v>541.26587736527415</v>
      </c>
      <c r="Z7" s="27">
        <f>M7^2/4*3.14</f>
        <v>113.04</v>
      </c>
      <c r="AA7" s="27">
        <f>Y7-Z7</f>
        <v>428.22587736527413</v>
      </c>
      <c r="AB7" s="28">
        <f>I7/K7*Z7*10^-6</f>
        <v>3.8259692307692308E-5</v>
      </c>
      <c r="AC7" s="28">
        <f>J7/K7*AA7*10^-6</f>
        <v>9.0586243288808E-6</v>
      </c>
      <c r="AD7" s="28">
        <f>AB7+AC7</f>
        <v>4.7318316636573105E-5</v>
      </c>
      <c r="AE7" s="16">
        <f>1/AD7*Y7*10^-6</f>
        <v>11.4388236065634</v>
      </c>
      <c r="AF7" s="29">
        <f>Y7*10^-6*(S7+U7)</f>
        <v>0.55425625842204074</v>
      </c>
      <c r="AG7" s="26">
        <f>AE7/AF7</f>
        <v>20.638149651443825</v>
      </c>
      <c r="AH7" s="26"/>
      <c r="AI7" s="18">
        <f>(N7-AF7)*H7</f>
        <v>4.2650208500116944E-7</v>
      </c>
      <c r="AJ7" s="18">
        <f>AE7/AI7</f>
        <v>26820088.362597417</v>
      </c>
      <c r="AK7" s="18"/>
      <c r="AL7" s="16">
        <f>$K7/J7</f>
        <v>47.272727272727266</v>
      </c>
      <c r="AM7" s="16">
        <f>N7-AF7-AI7</f>
        <v>4.2650204235096094</v>
      </c>
      <c r="AN7" s="26">
        <f>AL7/AM7</f>
        <v>11.08382201692422</v>
      </c>
      <c r="AO7" s="26"/>
      <c r="AP7" s="16">
        <f>1/(1/AG7+1/AJ7+1/AN7)</f>
        <v>7.211074972991395</v>
      </c>
      <c r="AQ7" s="16">
        <f>AP7*N7</f>
        <v>34.752168544536843</v>
      </c>
      <c r="AS7" s="24"/>
    </row>
    <row r="8" spans="1:45" x14ac:dyDescent="0.2">
      <c r="A8" s="35"/>
      <c r="B8" s="16">
        <f>AP8*G8*10^-3</f>
        <v>1.5555336979027881</v>
      </c>
      <c r="C8" s="17">
        <f>B8/B7</f>
        <v>0.32915426153256222</v>
      </c>
      <c r="D8" s="25">
        <v>8</v>
      </c>
      <c r="E8" s="25">
        <v>1.66</v>
      </c>
      <c r="F8" s="15">
        <f>P8*S8/8</f>
        <v>204.8</v>
      </c>
      <c r="G8" s="15">
        <f>F8*O8*8</f>
        <v>655.36000000000013</v>
      </c>
      <c r="H8" s="17">
        <v>0.99999990000000005</v>
      </c>
      <c r="I8" s="25">
        <v>8.8000000000000007</v>
      </c>
      <c r="J8" s="25">
        <v>0.55000000000000004</v>
      </c>
      <c r="K8" s="15">
        <v>26</v>
      </c>
      <c r="L8" s="15">
        <v>25</v>
      </c>
      <c r="M8" s="25">
        <v>12</v>
      </c>
      <c r="N8" s="26">
        <f>D8/E8</f>
        <v>4.8192771084337354</v>
      </c>
      <c r="O8" s="25">
        <v>0.4</v>
      </c>
      <c r="P8" s="25">
        <v>1.6</v>
      </c>
      <c r="Q8" s="25">
        <f>512</f>
        <v>512</v>
      </c>
      <c r="R8" s="25">
        <v>2</v>
      </c>
      <c r="S8" s="15">
        <f>R8*Q8</f>
        <v>1024</v>
      </c>
      <c r="U8" s="15">
        <f>IF(T8,Q8*2,0)</f>
        <v>0</v>
      </c>
      <c r="V8" s="15">
        <f>F8/D8</f>
        <v>25.6</v>
      </c>
      <c r="W8" s="15">
        <f>G8/N8</f>
        <v>135.9872</v>
      </c>
      <c r="Y8" s="27">
        <f>L8^2*SQRT(3)/2</f>
        <v>541.26587736527415</v>
      </c>
      <c r="Z8" s="27">
        <f>M8^2/4*3.14</f>
        <v>113.04</v>
      </c>
      <c r="AA8" s="27">
        <f>Y8-Z8</f>
        <v>428.22587736527413</v>
      </c>
      <c r="AB8" s="28">
        <f>I8/K8*Z8*10^-6</f>
        <v>3.8259692307692308E-5</v>
      </c>
      <c r="AC8" s="28">
        <f>J8/K8*AA8*10^-6</f>
        <v>9.0586243288808E-6</v>
      </c>
      <c r="AD8" s="28">
        <f>AB8+AC8</f>
        <v>4.7318316636573105E-5</v>
      </c>
      <c r="AE8" s="16">
        <f>1/AD8*Y8*10^-6</f>
        <v>11.4388236065634</v>
      </c>
      <c r="AF8" s="29">
        <f>Y8*10^-6*(S8+U8)</f>
        <v>0.55425625842204074</v>
      </c>
      <c r="AG8" s="26">
        <f>AE8/AF8</f>
        <v>20.638149651443825</v>
      </c>
      <c r="AH8" s="26"/>
      <c r="AI8" s="18">
        <f>(N8-AF8)*H8</f>
        <v>4.2650204235096094</v>
      </c>
      <c r="AJ8" s="18">
        <f>AE8/AI8</f>
        <v>2.6820091044606524</v>
      </c>
      <c r="AK8" s="18"/>
      <c r="AL8" s="16">
        <f>$K8/J8</f>
        <v>47.272727272727266</v>
      </c>
      <c r="AM8" s="16">
        <f>N8-AF8-AI8</f>
        <v>4.265020852045609E-7</v>
      </c>
      <c r="AN8" s="26">
        <f>AL8/AM8</f>
        <v>110838209.03256336</v>
      </c>
      <c r="AO8" s="26"/>
      <c r="AP8" s="16">
        <f>1/(1/AG8+1/AJ8+1/AN8)</f>
        <v>2.3735560575909234</v>
      </c>
      <c r="AQ8" s="16">
        <f>AP8*N8</f>
        <v>11.438824373932162</v>
      </c>
      <c r="AS8" s="24"/>
    </row>
    <row r="9" spans="1:45" x14ac:dyDescent="0.2">
      <c r="B9" s="30"/>
    </row>
    <row r="10" spans="1:45" x14ac:dyDescent="0.2">
      <c r="A10" s="35" t="s">
        <v>91</v>
      </c>
      <c r="B10" s="16">
        <f>AP10*G10*10^-3</f>
        <v>2.9272040308505489</v>
      </c>
      <c r="C10" s="17">
        <f>B10/B4</f>
        <v>0.5</v>
      </c>
      <c r="D10" s="25">
        <v>8</v>
      </c>
      <c r="E10" s="25">
        <v>2.25</v>
      </c>
      <c r="F10" s="15">
        <f>P10*S10/8</f>
        <v>102.4</v>
      </c>
      <c r="G10" s="15">
        <f>F10*O10*8</f>
        <v>327.68000000000006</v>
      </c>
      <c r="H10" s="17">
        <v>9.9999999999999995E-8</v>
      </c>
      <c r="I10" s="25">
        <v>8.8000000000000007</v>
      </c>
      <c r="J10" s="25">
        <v>0.55000000000000004</v>
      </c>
      <c r="K10" s="15">
        <v>26</v>
      </c>
      <c r="L10" s="15">
        <v>25</v>
      </c>
      <c r="M10" s="25">
        <v>12</v>
      </c>
      <c r="N10" s="26">
        <f>D10/E10</f>
        <v>3.5555555555555554</v>
      </c>
      <c r="O10" s="25">
        <v>0.4</v>
      </c>
      <c r="P10" s="25">
        <v>0.8</v>
      </c>
      <c r="Q10" s="25">
        <f>512</f>
        <v>512</v>
      </c>
      <c r="R10" s="25">
        <v>2</v>
      </c>
      <c r="S10" s="15">
        <f>R10*Q10</f>
        <v>1024</v>
      </c>
      <c r="U10" s="15">
        <f t="shared" ref="U10:U11" si="0">IF(T10,Q10*2,0)</f>
        <v>0</v>
      </c>
      <c r="V10" s="15">
        <f>F10/D10</f>
        <v>12.8</v>
      </c>
      <c r="W10" s="15">
        <f>G10/N10</f>
        <v>92.160000000000025</v>
      </c>
      <c r="Y10" s="27">
        <f>L10^2*SQRT(3)/2</f>
        <v>541.26587736527415</v>
      </c>
      <c r="Z10" s="27">
        <f>M10^2/4*3.14</f>
        <v>113.04</v>
      </c>
      <c r="AA10" s="27">
        <f>Y10-Z10</f>
        <v>428.22587736527413</v>
      </c>
      <c r="AB10" s="28">
        <f>I10/K10*Z10*10^-6</f>
        <v>3.8259692307692308E-5</v>
      </c>
      <c r="AC10" s="28">
        <f>J10/K10*AA10*10^-6</f>
        <v>9.0586243288808E-6</v>
      </c>
      <c r="AD10" s="28">
        <f>AB10+AC10</f>
        <v>4.7318316636573105E-5</v>
      </c>
      <c r="AE10" s="16">
        <f>1/AD10*Y10*10^-6</f>
        <v>11.4388236065634</v>
      </c>
      <c r="AF10" s="29">
        <f>Y10*10^-6*(S10+U10)</f>
        <v>0.55425625842204074</v>
      </c>
      <c r="AG10" s="26">
        <f>AE10/AF10</f>
        <v>20.638149651443825</v>
      </c>
      <c r="AH10" s="26"/>
      <c r="AI10" s="18">
        <f>(N10-AF10)*H10</f>
        <v>3.0012992971335144E-7</v>
      </c>
      <c r="AJ10" s="18">
        <f>AE10/AI10</f>
        <v>38112905.358983725</v>
      </c>
      <c r="AK10" s="18"/>
      <c r="AL10" s="16">
        <f>$K10/J10</f>
        <v>47.272727272727266</v>
      </c>
      <c r="AM10" s="16">
        <f>N10-AF10-AI10</f>
        <v>3.0012989970035848</v>
      </c>
      <c r="AN10" s="26">
        <f>AL10/AM10</f>
        <v>15.750755696091282</v>
      </c>
      <c r="AO10" s="26"/>
      <c r="AP10" s="16">
        <f>1/(1/AG10+1/AJ10+1/AN10)</f>
        <v>8.9331177699296518</v>
      </c>
      <c r="AQ10" s="16">
        <f>AP10*N10</f>
        <v>31.762196515305426</v>
      </c>
      <c r="AS10" s="24"/>
    </row>
    <row r="11" spans="1:45" x14ac:dyDescent="0.2">
      <c r="A11" s="35"/>
      <c r="B11" s="16">
        <f>AP11*G11*10^-3</f>
        <v>1.0542020510351082</v>
      </c>
      <c r="C11" s="17">
        <f>B11/B5</f>
        <v>0.5</v>
      </c>
      <c r="D11" s="25">
        <v>8</v>
      </c>
      <c r="E11" s="25">
        <v>2.25</v>
      </c>
      <c r="F11" s="15">
        <f>P11*S11/8</f>
        <v>102.4</v>
      </c>
      <c r="G11" s="15">
        <f>F11*O11*8</f>
        <v>327.68000000000006</v>
      </c>
      <c r="H11" s="17">
        <v>0.99999990000000005</v>
      </c>
      <c r="I11" s="25">
        <v>8.8000000000000007</v>
      </c>
      <c r="J11" s="25">
        <v>0.55000000000000004</v>
      </c>
      <c r="K11" s="15">
        <v>26</v>
      </c>
      <c r="L11" s="15">
        <v>25</v>
      </c>
      <c r="M11" s="25">
        <v>12</v>
      </c>
      <c r="N11" s="26">
        <f>D11/E11</f>
        <v>3.5555555555555554</v>
      </c>
      <c r="O11" s="25">
        <v>0.4</v>
      </c>
      <c r="P11" s="25">
        <v>0.8</v>
      </c>
      <c r="Q11" s="25">
        <f>512</f>
        <v>512</v>
      </c>
      <c r="R11" s="25">
        <v>2</v>
      </c>
      <c r="S11" s="15">
        <f>R11*Q11</f>
        <v>1024</v>
      </c>
      <c r="U11" s="15">
        <f t="shared" si="0"/>
        <v>0</v>
      </c>
      <c r="V11" s="15">
        <f>F11/D11</f>
        <v>12.8</v>
      </c>
      <c r="W11" s="15">
        <f>G11/N11</f>
        <v>92.160000000000025</v>
      </c>
      <c r="Y11" s="27">
        <f>L11^2*SQRT(3)/2</f>
        <v>541.26587736527415</v>
      </c>
      <c r="Z11" s="27">
        <f>M11^2/4*3.14</f>
        <v>113.04</v>
      </c>
      <c r="AA11" s="27">
        <f>Y11-Z11</f>
        <v>428.22587736527413</v>
      </c>
      <c r="AB11" s="28">
        <f>I11/K11*Z11*10^-6</f>
        <v>3.8259692307692308E-5</v>
      </c>
      <c r="AC11" s="28">
        <f>J11/K11*AA11*10^-6</f>
        <v>9.0586243288808E-6</v>
      </c>
      <c r="AD11" s="28">
        <f>AB11+AC11</f>
        <v>4.7318316636573105E-5</v>
      </c>
      <c r="AE11" s="16">
        <f>1/AD11*Y11*10^-6</f>
        <v>11.4388236065634</v>
      </c>
      <c r="AF11" s="29">
        <f>Y11*10^-6*(S11+U11)</f>
        <v>0.55425625842204074</v>
      </c>
      <c r="AG11" s="26">
        <f>AE11/AF11</f>
        <v>20.638149651443825</v>
      </c>
      <c r="AH11" s="26"/>
      <c r="AI11" s="18">
        <f>(N11-AF11)*H11</f>
        <v>3.0012989970035853</v>
      </c>
      <c r="AJ11" s="18">
        <f>AE11/AI11</f>
        <v>3.8112909170274629</v>
      </c>
      <c r="AK11" s="18"/>
      <c r="AL11" s="16">
        <f>$K11/J11</f>
        <v>47.272727272727266</v>
      </c>
      <c r="AM11" s="16">
        <f>N11-AF11-AI11</f>
        <v>3.0012992935368743E-7</v>
      </c>
      <c r="AN11" s="26">
        <f>AL11/AM11</f>
        <v>157507541.39890802</v>
      </c>
      <c r="AO11" s="26"/>
      <c r="AP11" s="16">
        <f>1/(1/AG11+1/AJ11+1/AN11)</f>
        <v>3.2171693451999146</v>
      </c>
      <c r="AQ11" s="16">
        <f>AP11*N11</f>
        <v>11.438824338488585</v>
      </c>
      <c r="AS11" s="24"/>
    </row>
    <row r="12" spans="1:45" ht="5" customHeight="1" x14ac:dyDescent="0.2">
      <c r="A12" s="35"/>
      <c r="B12" s="30"/>
    </row>
    <row r="13" spans="1:45" x14ac:dyDescent="0.2">
      <c r="A13" s="35"/>
      <c r="B13" s="16">
        <f>AP13*G13*10^-3</f>
        <v>2.3629250471498207</v>
      </c>
      <c r="C13" s="17">
        <f>B13/B7</f>
        <v>0.5</v>
      </c>
      <c r="D13" s="25">
        <v>8</v>
      </c>
      <c r="E13" s="25">
        <v>1.66</v>
      </c>
      <c r="F13" s="15">
        <f>P13*S13/8</f>
        <v>102.4</v>
      </c>
      <c r="G13" s="15">
        <f>F13*O13*8</f>
        <v>327.68000000000006</v>
      </c>
      <c r="H13" s="17">
        <v>9.9999999999999995E-8</v>
      </c>
      <c r="I13" s="25">
        <v>8.8000000000000007</v>
      </c>
      <c r="J13" s="25">
        <v>0.55000000000000004</v>
      </c>
      <c r="K13" s="15">
        <v>26</v>
      </c>
      <c r="L13" s="15">
        <v>25</v>
      </c>
      <c r="M13" s="25">
        <v>12</v>
      </c>
      <c r="N13" s="26">
        <f>D13/E13</f>
        <v>4.8192771084337354</v>
      </c>
      <c r="O13" s="25">
        <v>0.4</v>
      </c>
      <c r="P13" s="25">
        <v>0.8</v>
      </c>
      <c r="Q13" s="25">
        <f>512</f>
        <v>512</v>
      </c>
      <c r="R13" s="25">
        <v>2</v>
      </c>
      <c r="S13" s="15">
        <f>R13*Q13</f>
        <v>1024</v>
      </c>
      <c r="U13" s="15">
        <f t="shared" ref="U13:U14" si="1">IF(T13,Q13*2,0)</f>
        <v>0</v>
      </c>
      <c r="V13" s="15">
        <f>F13/D13</f>
        <v>12.8</v>
      </c>
      <c r="W13" s="15">
        <f>G13/N13</f>
        <v>67.993600000000001</v>
      </c>
      <c r="Y13" s="27">
        <f>L13^2*SQRT(3)/2</f>
        <v>541.26587736527415</v>
      </c>
      <c r="Z13" s="27">
        <f>M13^2/4*3.14</f>
        <v>113.04</v>
      </c>
      <c r="AA13" s="27">
        <f>Y13-Z13</f>
        <v>428.22587736527413</v>
      </c>
      <c r="AB13" s="28">
        <f>I13/K13*Z13*10^-6</f>
        <v>3.8259692307692308E-5</v>
      </c>
      <c r="AC13" s="28">
        <f>J13/K13*AA13*10^-6</f>
        <v>9.0586243288808E-6</v>
      </c>
      <c r="AD13" s="28">
        <f>AB13+AC13</f>
        <v>4.7318316636573105E-5</v>
      </c>
      <c r="AE13" s="16">
        <f>1/AD13*Y13*10^-6</f>
        <v>11.4388236065634</v>
      </c>
      <c r="AF13" s="29">
        <f>Y13*10^-6*(S13+U13)</f>
        <v>0.55425625842204074</v>
      </c>
      <c r="AG13" s="26">
        <f>AE13/AF13</f>
        <v>20.638149651443825</v>
      </c>
      <c r="AH13" s="26"/>
      <c r="AI13" s="18">
        <f>(N13-AF13)*H13</f>
        <v>4.2650208500116944E-7</v>
      </c>
      <c r="AJ13" s="18">
        <f>AE13/AI13</f>
        <v>26820088.362597417</v>
      </c>
      <c r="AK13" s="18"/>
      <c r="AL13" s="16">
        <f>$K13/J13</f>
        <v>47.272727272727266</v>
      </c>
      <c r="AM13" s="16">
        <f>N13-AF13-AI13</f>
        <v>4.2650204235096094</v>
      </c>
      <c r="AN13" s="26">
        <f>AL13/AM13</f>
        <v>11.08382201692422</v>
      </c>
      <c r="AO13" s="26"/>
      <c r="AP13" s="16">
        <f>1/(1/AG13+1/AJ13+1/AN13)</f>
        <v>7.211074972991395</v>
      </c>
      <c r="AQ13" s="16">
        <f>AP13*N13</f>
        <v>34.752168544536843</v>
      </c>
      <c r="AS13" s="24"/>
    </row>
    <row r="14" spans="1:45" x14ac:dyDescent="0.2">
      <c r="A14" s="35"/>
      <c r="B14" s="16">
        <f>AP14*G14*10^-3</f>
        <v>0.77776684895139403</v>
      </c>
      <c r="C14" s="17">
        <f>B14/B8</f>
        <v>0.5</v>
      </c>
      <c r="D14" s="25">
        <v>8</v>
      </c>
      <c r="E14" s="25">
        <v>1.66</v>
      </c>
      <c r="F14" s="15">
        <f>P14*S14/8</f>
        <v>102.4</v>
      </c>
      <c r="G14" s="15">
        <f>F14*O14*8</f>
        <v>327.68000000000006</v>
      </c>
      <c r="H14" s="17">
        <v>0.99999990000000005</v>
      </c>
      <c r="I14" s="25">
        <v>8.8000000000000007</v>
      </c>
      <c r="J14" s="25">
        <v>0.55000000000000004</v>
      </c>
      <c r="K14" s="15">
        <v>26</v>
      </c>
      <c r="L14" s="15">
        <v>25</v>
      </c>
      <c r="M14" s="25">
        <v>12</v>
      </c>
      <c r="N14" s="26">
        <f>D14/E14</f>
        <v>4.8192771084337354</v>
      </c>
      <c r="O14" s="25">
        <v>0.4</v>
      </c>
      <c r="P14" s="25">
        <v>0.8</v>
      </c>
      <c r="Q14" s="25">
        <f>512</f>
        <v>512</v>
      </c>
      <c r="R14" s="25">
        <v>2</v>
      </c>
      <c r="S14" s="15">
        <f>R14*Q14</f>
        <v>1024</v>
      </c>
      <c r="U14" s="15">
        <f t="shared" si="1"/>
        <v>0</v>
      </c>
      <c r="V14" s="15">
        <f>F14/D14</f>
        <v>12.8</v>
      </c>
      <c r="W14" s="15">
        <f>G14/N14</f>
        <v>67.993600000000001</v>
      </c>
      <c r="Y14" s="27">
        <f>L14^2*SQRT(3)/2</f>
        <v>541.26587736527415</v>
      </c>
      <c r="Z14" s="27">
        <f>M14^2/4*3.14</f>
        <v>113.04</v>
      </c>
      <c r="AA14" s="27">
        <f>Y14-Z14</f>
        <v>428.22587736527413</v>
      </c>
      <c r="AB14" s="28">
        <f>I14/K14*Z14*10^-6</f>
        <v>3.8259692307692308E-5</v>
      </c>
      <c r="AC14" s="28">
        <f>J14/K14*AA14*10^-6</f>
        <v>9.0586243288808E-6</v>
      </c>
      <c r="AD14" s="28">
        <f>AB14+AC14</f>
        <v>4.7318316636573105E-5</v>
      </c>
      <c r="AE14" s="16">
        <f>1/AD14*Y14*10^-6</f>
        <v>11.4388236065634</v>
      </c>
      <c r="AF14" s="29">
        <f>Y14*10^-6*(S14+U14)</f>
        <v>0.55425625842204074</v>
      </c>
      <c r="AG14" s="26">
        <f>AE14/AF14</f>
        <v>20.638149651443825</v>
      </c>
      <c r="AH14" s="26"/>
      <c r="AI14" s="18">
        <f>(N14-AF14)*H14</f>
        <v>4.2650204235096094</v>
      </c>
      <c r="AJ14" s="18">
        <f>AE14/AI14</f>
        <v>2.6820091044606524</v>
      </c>
      <c r="AK14" s="18"/>
      <c r="AL14" s="16">
        <f>$K14/J14</f>
        <v>47.272727272727266</v>
      </c>
      <c r="AM14" s="16">
        <f>N14-AF14-AI14</f>
        <v>4.265020852045609E-7</v>
      </c>
      <c r="AN14" s="26">
        <f>AL14/AM14</f>
        <v>110838209.03256336</v>
      </c>
      <c r="AO14" s="26"/>
      <c r="AP14" s="16">
        <f>1/(1/AG14+1/AJ14+1/AN14)</f>
        <v>2.3735560575909234</v>
      </c>
      <c r="AQ14" s="16">
        <f>AP14*N14</f>
        <v>11.438824373932162</v>
      </c>
      <c r="AS14" s="24"/>
    </row>
    <row r="15" spans="1:45" x14ac:dyDescent="0.2">
      <c r="B15" s="30"/>
    </row>
    <row r="16" spans="1:45" x14ac:dyDescent="0.2">
      <c r="A16" s="34" t="s">
        <v>93</v>
      </c>
      <c r="B16" s="16">
        <f>AP16*G16*10^-3</f>
        <v>5.0329217415646408</v>
      </c>
      <c r="C16" s="17">
        <f>B16/B4</f>
        <v>0.85968072066746914</v>
      </c>
      <c r="D16" s="25">
        <v>8</v>
      </c>
      <c r="E16" s="25">
        <v>2.25</v>
      </c>
      <c r="F16" s="15">
        <f>P16*S16/8</f>
        <v>204.8</v>
      </c>
      <c r="G16" s="15">
        <f>F16*O16*8</f>
        <v>655.36000000000013</v>
      </c>
      <c r="H16" s="17">
        <v>9.9999999999999995E-8</v>
      </c>
      <c r="I16" s="25">
        <v>8.8000000000000007</v>
      </c>
      <c r="J16" s="25">
        <v>0.55000000000000004</v>
      </c>
      <c r="K16" s="15">
        <v>25</v>
      </c>
      <c r="L16" s="15">
        <v>25</v>
      </c>
      <c r="M16" s="25">
        <v>14</v>
      </c>
      <c r="N16" s="26">
        <f>D16/E16</f>
        <v>3.5555555555555554</v>
      </c>
      <c r="O16" s="25">
        <v>0.4</v>
      </c>
      <c r="P16" s="25">
        <v>1.6</v>
      </c>
      <c r="Q16" s="25">
        <f>512</f>
        <v>512</v>
      </c>
      <c r="R16" s="25">
        <v>2</v>
      </c>
      <c r="S16" s="15">
        <f>R16*Q16</f>
        <v>1024</v>
      </c>
      <c r="U16" s="15">
        <f t="shared" ref="U16:U17" si="2">IF(T16,Q16*2,0)</f>
        <v>0</v>
      </c>
      <c r="V16" s="15">
        <f>F16/D16</f>
        <v>25.6</v>
      </c>
      <c r="W16" s="15">
        <f>G16/N16</f>
        <v>184.32000000000005</v>
      </c>
      <c r="Y16" s="27">
        <f>L16^2*SQRT(3)/2</f>
        <v>541.26587736527415</v>
      </c>
      <c r="Z16" s="27">
        <f>M16^2/4*3.14</f>
        <v>153.86000000000001</v>
      </c>
      <c r="AA16" s="27">
        <f>Y16-Z16</f>
        <v>387.40587736527414</v>
      </c>
      <c r="AB16" s="28">
        <f>I16/K16*Z16*10^-6</f>
        <v>5.4158720000000009E-5</v>
      </c>
      <c r="AC16" s="28">
        <f>J16/K16*AA16*10^-6</f>
        <v>8.5229293020360302E-6</v>
      </c>
      <c r="AD16" s="28">
        <f>AB16+AC16</f>
        <v>6.2681649302036039E-5</v>
      </c>
      <c r="AE16" s="16">
        <f>1/AD16*Y16*10^-6</f>
        <v>8.635156914221346</v>
      </c>
      <c r="AF16" s="29">
        <f>Y16*10^-6*(S16+U16)</f>
        <v>0.55425625842204074</v>
      </c>
      <c r="AG16" s="26">
        <f>AE16/AF16</f>
        <v>15.579719277876102</v>
      </c>
      <c r="AH16" s="26"/>
      <c r="AI16" s="18">
        <f>(N16-AF16)*H16</f>
        <v>3.0012992971335144E-7</v>
      </c>
      <c r="AJ16" s="18">
        <f>AE16/AI16</f>
        <v>28771395.516830411</v>
      </c>
      <c r="AK16" s="18"/>
      <c r="AL16" s="16">
        <f>$K16/J16</f>
        <v>45.454545454545453</v>
      </c>
      <c r="AM16" s="16">
        <f>N16-AF16-AI16</f>
        <v>3.0012989970035848</v>
      </c>
      <c r="AN16" s="26">
        <f>AL16/AM16</f>
        <v>15.144957400087772</v>
      </c>
      <c r="AO16" s="26"/>
      <c r="AP16" s="16">
        <f>1/(1/AG16+1/AJ16+1/AN16)</f>
        <v>7.679629122260498</v>
      </c>
      <c r="AQ16" s="16">
        <f>AP16*N16</f>
        <v>27.305347990259548</v>
      </c>
      <c r="AS16" s="24"/>
    </row>
    <row r="17" spans="1:45" x14ac:dyDescent="0.2">
      <c r="A17" s="35"/>
      <c r="B17" s="16">
        <f>AP17*G17*10^-3</f>
        <v>1.5916322312580728</v>
      </c>
      <c r="C17" s="17">
        <f>B17/B5</f>
        <v>0.75489903937071101</v>
      </c>
      <c r="D17" s="25">
        <v>8</v>
      </c>
      <c r="E17" s="25">
        <v>2.25</v>
      </c>
      <c r="F17" s="15">
        <f>P17*S17/8</f>
        <v>204.8</v>
      </c>
      <c r="G17" s="15">
        <f>F17*O17*8</f>
        <v>655.36000000000013</v>
      </c>
      <c r="H17" s="17">
        <v>0.99999990000000005</v>
      </c>
      <c r="I17" s="25">
        <v>8.8000000000000007</v>
      </c>
      <c r="J17" s="25">
        <v>0.55000000000000004</v>
      </c>
      <c r="K17" s="15">
        <v>25</v>
      </c>
      <c r="L17" s="15">
        <v>25</v>
      </c>
      <c r="M17" s="25">
        <v>14</v>
      </c>
      <c r="N17" s="26">
        <f>D17/E17</f>
        <v>3.5555555555555554</v>
      </c>
      <c r="O17" s="25">
        <v>0.4</v>
      </c>
      <c r="P17" s="25">
        <v>1.6</v>
      </c>
      <c r="Q17" s="25">
        <f>512</f>
        <v>512</v>
      </c>
      <c r="R17" s="25">
        <v>2</v>
      </c>
      <c r="S17" s="15">
        <f>R17*Q17</f>
        <v>1024</v>
      </c>
      <c r="U17" s="15">
        <f t="shared" si="2"/>
        <v>0</v>
      </c>
      <c r="V17" s="15">
        <f>F17/D17</f>
        <v>25.6</v>
      </c>
      <c r="W17" s="15">
        <f>G17/N17</f>
        <v>184.32000000000005</v>
      </c>
      <c r="Y17" s="27">
        <f>L17^2*SQRT(3)/2</f>
        <v>541.26587736527415</v>
      </c>
      <c r="Z17" s="27">
        <f>M17^2/4*3.14</f>
        <v>153.86000000000001</v>
      </c>
      <c r="AA17" s="27">
        <f>Y17-Z17</f>
        <v>387.40587736527414</v>
      </c>
      <c r="AB17" s="28">
        <f>I17/K17*Z17*10^-6</f>
        <v>5.4158720000000009E-5</v>
      </c>
      <c r="AC17" s="28">
        <f>J17/K17*AA17*10^-6</f>
        <v>8.5229293020360302E-6</v>
      </c>
      <c r="AD17" s="28">
        <f>AB17+AC17</f>
        <v>6.2681649302036039E-5</v>
      </c>
      <c r="AE17" s="16">
        <f>1/AD17*Y17*10^-6</f>
        <v>8.635156914221346</v>
      </c>
      <c r="AF17" s="29">
        <f>Y17*10^-6*(S17+U17)</f>
        <v>0.55425625842204074</v>
      </c>
      <c r="AG17" s="26">
        <f>AE17/AF17</f>
        <v>15.579719277876102</v>
      </c>
      <c r="AH17" s="26"/>
      <c r="AI17" s="18">
        <f>(N17-AF17)*H17</f>
        <v>3.0012989970035853</v>
      </c>
      <c r="AJ17" s="18">
        <f>AE17/AI17</f>
        <v>2.8771398393970244</v>
      </c>
      <c r="AK17" s="18"/>
      <c r="AL17" s="16">
        <f>$K17/J17</f>
        <v>45.454545454545453</v>
      </c>
      <c r="AM17" s="16">
        <f>N17-AF17-AI17</f>
        <v>3.0012992935368743E-7</v>
      </c>
      <c r="AN17" s="26">
        <f>AL17/AM17</f>
        <v>151449559.0374116</v>
      </c>
      <c r="AO17" s="26"/>
      <c r="AP17" s="16">
        <f>1/(1/AG17+1/AJ17+1/AN17)</f>
        <v>2.4286380481843146</v>
      </c>
      <c r="AQ17" s="16">
        <f>AP17*N17</f>
        <v>8.635157504655341</v>
      </c>
      <c r="AS17" s="24"/>
    </row>
    <row r="18" spans="1:45" ht="5" customHeight="1" x14ac:dyDescent="0.2">
      <c r="A18" s="35"/>
      <c r="B18" s="30"/>
    </row>
    <row r="19" spans="1:45" x14ac:dyDescent="0.2">
      <c r="A19" s="35"/>
      <c r="B19" s="16">
        <f>AP19*G19*10^-3</f>
        <v>4.1474147858303185</v>
      </c>
      <c r="C19" s="17">
        <f>B19/B7</f>
        <v>0.87760185005295954</v>
      </c>
      <c r="D19" s="25">
        <v>8</v>
      </c>
      <c r="E19" s="25">
        <v>1.66</v>
      </c>
      <c r="F19" s="15">
        <f>P19*S19/8</f>
        <v>204.8</v>
      </c>
      <c r="G19" s="15">
        <f>F19*O19*8</f>
        <v>655.36000000000013</v>
      </c>
      <c r="H19" s="17">
        <v>9.9999999999999995E-8</v>
      </c>
      <c r="I19" s="25">
        <v>8.8000000000000007</v>
      </c>
      <c r="J19" s="25">
        <v>0.55000000000000004</v>
      </c>
      <c r="K19" s="15">
        <v>25</v>
      </c>
      <c r="L19" s="15">
        <v>25</v>
      </c>
      <c r="M19" s="25">
        <v>14</v>
      </c>
      <c r="N19" s="26">
        <f>D19/E19</f>
        <v>4.8192771084337354</v>
      </c>
      <c r="O19" s="25">
        <v>0.4</v>
      </c>
      <c r="P19" s="25">
        <v>1.6</v>
      </c>
      <c r="Q19" s="25">
        <f>512</f>
        <v>512</v>
      </c>
      <c r="R19" s="25">
        <v>2</v>
      </c>
      <c r="S19" s="15">
        <f>R19*Q19</f>
        <v>1024</v>
      </c>
      <c r="U19" s="15">
        <f t="shared" ref="U19:U20" si="3">IF(T19,Q19*2,0)</f>
        <v>0</v>
      </c>
      <c r="V19" s="15">
        <f>F19/D19</f>
        <v>25.6</v>
      </c>
      <c r="W19" s="15">
        <f>G19/N19</f>
        <v>135.9872</v>
      </c>
      <c r="Y19" s="27">
        <f>L19^2*SQRT(3)/2</f>
        <v>541.26587736527415</v>
      </c>
      <c r="Z19" s="27">
        <f>M19^2/4*3.14</f>
        <v>153.86000000000001</v>
      </c>
      <c r="AA19" s="27">
        <f>Y19-Z19</f>
        <v>387.40587736527414</v>
      </c>
      <c r="AB19" s="28">
        <f>I19/K19*Z19*10^-6</f>
        <v>5.4158720000000009E-5</v>
      </c>
      <c r="AC19" s="28">
        <f>J19/K19*AA19*10^-6</f>
        <v>8.5229293020360302E-6</v>
      </c>
      <c r="AD19" s="28">
        <f>AB19+AC19</f>
        <v>6.2681649302036039E-5</v>
      </c>
      <c r="AE19" s="16">
        <f>1/AD19*Y19*10^-6</f>
        <v>8.635156914221346</v>
      </c>
      <c r="AF19" s="29">
        <f>Y19*10^-6*(S19+U19)</f>
        <v>0.55425625842204074</v>
      </c>
      <c r="AG19" s="26">
        <f>AE19/AF19</f>
        <v>15.579719277876102</v>
      </c>
      <c r="AH19" s="26"/>
      <c r="AI19" s="18">
        <f>(N19-AF19)*H19</f>
        <v>4.2650208500116944E-7</v>
      </c>
      <c r="AJ19" s="18">
        <f>AE19/AI19</f>
        <v>20246458.851889715</v>
      </c>
      <c r="AK19" s="18"/>
      <c r="AL19" s="16">
        <f>$K19/J19</f>
        <v>45.454545454545453</v>
      </c>
      <c r="AM19" s="16">
        <f>N19-AF19-AI19</f>
        <v>4.2650204235096094</v>
      </c>
      <c r="AN19" s="26">
        <f>AL19/AM19</f>
        <v>10.657521170119443</v>
      </c>
      <c r="AO19" s="26"/>
      <c r="AP19" s="16">
        <f>1/(1/AG19+1/AJ19+1/AN19)</f>
        <v>6.3284527371678427</v>
      </c>
      <c r="AQ19" s="16">
        <f>AP19*N19</f>
        <v>30.4985674080378</v>
      </c>
      <c r="AS19" s="24"/>
    </row>
    <row r="20" spans="1:45" x14ac:dyDescent="0.2">
      <c r="A20" s="35"/>
      <c r="B20" s="16">
        <f>AP20*G20*10^-3</f>
        <v>1.1742708945051918</v>
      </c>
      <c r="C20" s="17">
        <f>B20/B8</f>
        <v>0.7548990395311751</v>
      </c>
      <c r="D20" s="25">
        <v>8</v>
      </c>
      <c r="E20" s="25">
        <v>1.66</v>
      </c>
      <c r="F20" s="15">
        <f>P20*S20/8</f>
        <v>204.8</v>
      </c>
      <c r="G20" s="15">
        <f>F20*O20*8</f>
        <v>655.36000000000013</v>
      </c>
      <c r="H20" s="17">
        <v>0.99999990000000005</v>
      </c>
      <c r="I20" s="25">
        <v>8.8000000000000007</v>
      </c>
      <c r="J20" s="25">
        <v>0.55000000000000004</v>
      </c>
      <c r="K20" s="15">
        <v>25</v>
      </c>
      <c r="L20" s="15">
        <v>25</v>
      </c>
      <c r="M20" s="25">
        <v>14</v>
      </c>
      <c r="N20" s="26">
        <f>D20/E20</f>
        <v>4.8192771084337354</v>
      </c>
      <c r="O20" s="25">
        <v>0.4</v>
      </c>
      <c r="P20" s="25">
        <v>1.6</v>
      </c>
      <c r="Q20" s="25">
        <f>512</f>
        <v>512</v>
      </c>
      <c r="R20" s="25">
        <v>2</v>
      </c>
      <c r="S20" s="15">
        <f>R20*Q20</f>
        <v>1024</v>
      </c>
      <c r="U20" s="15">
        <f t="shared" si="3"/>
        <v>0</v>
      </c>
      <c r="V20" s="15">
        <f>F20/D20</f>
        <v>25.6</v>
      </c>
      <c r="W20" s="15">
        <f>G20/N20</f>
        <v>135.9872</v>
      </c>
      <c r="Y20" s="27">
        <f>L20^2*SQRT(3)/2</f>
        <v>541.26587736527415</v>
      </c>
      <c r="Z20" s="27">
        <f>M20^2/4*3.14</f>
        <v>153.86000000000001</v>
      </c>
      <c r="AA20" s="27">
        <f>Y20-Z20</f>
        <v>387.40587736527414</v>
      </c>
      <c r="AB20" s="28">
        <f>I20/K20*Z20*10^-6</f>
        <v>5.4158720000000009E-5</v>
      </c>
      <c r="AC20" s="28">
        <f>J20/K20*AA20*10^-6</f>
        <v>8.5229293020360302E-6</v>
      </c>
      <c r="AD20" s="28">
        <f>AB20+AC20</f>
        <v>6.2681649302036039E-5</v>
      </c>
      <c r="AE20" s="16">
        <f>1/AD20*Y20*10^-6</f>
        <v>8.635156914221346</v>
      </c>
      <c r="AF20" s="29">
        <f>Y20*10^-6*(S20+U20)</f>
        <v>0.55425625842204074</v>
      </c>
      <c r="AG20" s="26">
        <f>AE20/AF20</f>
        <v>15.579719277876102</v>
      </c>
      <c r="AH20" s="26"/>
      <c r="AI20" s="18">
        <f>(N20-AF20)*H20</f>
        <v>4.2650204235096094</v>
      </c>
      <c r="AJ20" s="18">
        <f>AE20/AI20</f>
        <v>2.0246460876535801</v>
      </c>
      <c r="AK20" s="18"/>
      <c r="AL20" s="16">
        <f>$K20/J20</f>
        <v>45.454545454545453</v>
      </c>
      <c r="AM20" s="16">
        <f>N20-AF20-AI20</f>
        <v>4.265020852045609E-7</v>
      </c>
      <c r="AN20" s="26">
        <f>AL20/AM20</f>
        <v>106575200.99284939</v>
      </c>
      <c r="AO20" s="26"/>
      <c r="AP20" s="16">
        <f>1/(1/AG20+1/AJ20+1/AN20)</f>
        <v>1.7917951881487908</v>
      </c>
      <c r="AQ20" s="16">
        <f>AP20*N20</f>
        <v>8.6351575332471846</v>
      </c>
      <c r="AS20" s="24"/>
    </row>
    <row r="21" spans="1:45" x14ac:dyDescent="0.2">
      <c r="B21" s="30"/>
    </row>
    <row r="22" spans="1:45" x14ac:dyDescent="0.2">
      <c r="A22" s="34" t="s">
        <v>98</v>
      </c>
      <c r="B22" s="16">
        <f>AP22*G22*10^-3</f>
        <v>3.1973352857967074</v>
      </c>
      <c r="C22" s="17">
        <f>B22/B16</f>
        <v>0.63528412520134203</v>
      </c>
      <c r="D22" s="25">
        <v>8</v>
      </c>
      <c r="E22" s="25">
        <v>2.25</v>
      </c>
      <c r="F22" s="15">
        <f>P22*S22/8</f>
        <v>204.8</v>
      </c>
      <c r="G22" s="15">
        <f>F22*O22*8</f>
        <v>655.36000000000013</v>
      </c>
      <c r="H22" s="17">
        <v>9.9999999999999995E-8</v>
      </c>
      <c r="I22" s="25">
        <v>8.8000000000000007</v>
      </c>
      <c r="J22" s="25">
        <v>1.1000000000000001</v>
      </c>
      <c r="K22" s="15">
        <v>25</v>
      </c>
      <c r="L22" s="15">
        <v>25</v>
      </c>
      <c r="M22" s="25">
        <v>14</v>
      </c>
      <c r="N22" s="26">
        <f>D22/E22</f>
        <v>3.5555555555555554</v>
      </c>
      <c r="O22" s="25">
        <v>0.4</v>
      </c>
      <c r="P22" s="25">
        <v>1.6</v>
      </c>
      <c r="Q22" s="25">
        <f>512</f>
        <v>512</v>
      </c>
      <c r="R22" s="25">
        <v>2</v>
      </c>
      <c r="S22" s="15">
        <f>R22*Q22</f>
        <v>1024</v>
      </c>
      <c r="U22" s="15">
        <f t="shared" ref="U22:U23" si="4">IF(T22,Q22*2,0)</f>
        <v>0</v>
      </c>
      <c r="V22" s="15">
        <f>F22/D22</f>
        <v>25.6</v>
      </c>
      <c r="W22" s="15">
        <f>G22/N22</f>
        <v>184.32000000000005</v>
      </c>
      <c r="Y22" s="27">
        <f>L22^2*SQRT(3)/2</f>
        <v>541.26587736527415</v>
      </c>
      <c r="Z22" s="27">
        <f>M22^2/4*3.14</f>
        <v>153.86000000000001</v>
      </c>
      <c r="AA22" s="27">
        <f>Y22-Z22</f>
        <v>387.40587736527414</v>
      </c>
      <c r="AB22" s="28">
        <f>I22/K22*Z22*10^-6</f>
        <v>5.4158720000000009E-5</v>
      </c>
      <c r="AC22" s="28">
        <f>J22/K22*AA22*10^-6</f>
        <v>1.704585860407206E-5</v>
      </c>
      <c r="AD22" s="28">
        <f>AB22+AC22</f>
        <v>7.1204578604072076E-5</v>
      </c>
      <c r="AE22" s="16">
        <f>1/AD22*Y22*10^-6</f>
        <v>7.6015600116804842</v>
      </c>
      <c r="AF22" s="29">
        <f>Y22*10^-6*(S22+U22)</f>
        <v>0.55425625842204074</v>
      </c>
      <c r="AG22" s="26">
        <f>AE22/AF22</f>
        <v>13.714883496890069</v>
      </c>
      <c r="AH22" s="26"/>
      <c r="AI22" s="18">
        <f>(N22-AF22)*H22</f>
        <v>3.0012992971335144E-7</v>
      </c>
      <c r="AJ22" s="18">
        <f>AE22/AI22</f>
        <v>25327564.02848791</v>
      </c>
      <c r="AK22" s="18"/>
      <c r="AL22" s="16">
        <f>$K22/J22</f>
        <v>22.727272727272727</v>
      </c>
      <c r="AM22" s="16">
        <f>N22-AF22-AI22</f>
        <v>3.0012989970035848</v>
      </c>
      <c r="AN22" s="26">
        <f>AL22/AM22</f>
        <v>7.5724787000438862</v>
      </c>
      <c r="AO22" s="26"/>
      <c r="AP22" s="16">
        <f>1/(1/AG22+1/AJ22+1/AN22)</f>
        <v>4.8787464688060105</v>
      </c>
      <c r="AQ22" s="16">
        <f>AP22*N22</f>
        <v>17.346654111310258</v>
      </c>
      <c r="AS22" s="24"/>
    </row>
    <row r="23" spans="1:45" x14ac:dyDescent="0.2">
      <c r="A23" s="35"/>
      <c r="B23" s="16">
        <f>AP23*G23*10^-3</f>
        <v>1.4011196200657861</v>
      </c>
      <c r="C23" s="17">
        <f>B23/B17</f>
        <v>0.88030362325491485</v>
      </c>
      <c r="D23" s="25">
        <v>8</v>
      </c>
      <c r="E23" s="25">
        <v>2.25</v>
      </c>
      <c r="F23" s="15">
        <f>P23*S23/8</f>
        <v>204.8</v>
      </c>
      <c r="G23" s="15">
        <f>F23*O23*8</f>
        <v>655.36000000000013</v>
      </c>
      <c r="H23" s="17">
        <v>0.99999990000000005</v>
      </c>
      <c r="I23" s="25">
        <v>8.8000000000000007</v>
      </c>
      <c r="J23" s="25">
        <v>1.1000000000000001</v>
      </c>
      <c r="K23" s="15">
        <v>25</v>
      </c>
      <c r="L23" s="15">
        <v>25</v>
      </c>
      <c r="M23" s="25">
        <v>14</v>
      </c>
      <c r="N23" s="26">
        <f>D23/E23</f>
        <v>3.5555555555555554</v>
      </c>
      <c r="O23" s="25">
        <v>0.4</v>
      </c>
      <c r="P23" s="25">
        <v>1.6</v>
      </c>
      <c r="Q23" s="25">
        <f>512</f>
        <v>512</v>
      </c>
      <c r="R23" s="25">
        <v>2</v>
      </c>
      <c r="S23" s="15">
        <f>R23*Q23</f>
        <v>1024</v>
      </c>
      <c r="U23" s="15">
        <f t="shared" si="4"/>
        <v>0</v>
      </c>
      <c r="V23" s="15">
        <f>F23/D23</f>
        <v>25.6</v>
      </c>
      <c r="W23" s="15">
        <f>G23/N23</f>
        <v>184.32000000000005</v>
      </c>
      <c r="Y23" s="27">
        <f>L23^2*SQRT(3)/2</f>
        <v>541.26587736527415</v>
      </c>
      <c r="Z23" s="27">
        <f>M23^2/4*3.14</f>
        <v>153.86000000000001</v>
      </c>
      <c r="AA23" s="27">
        <f>Y23-Z23</f>
        <v>387.40587736527414</v>
      </c>
      <c r="AB23" s="28">
        <f>I23/K23*Z23*10^-6</f>
        <v>5.4158720000000009E-5</v>
      </c>
      <c r="AC23" s="28">
        <f>J23/K23*AA23*10^-6</f>
        <v>1.704585860407206E-5</v>
      </c>
      <c r="AD23" s="28">
        <f>AB23+AC23</f>
        <v>7.1204578604072076E-5</v>
      </c>
      <c r="AE23" s="16">
        <f>1/AD23*Y23*10^-6</f>
        <v>7.6015600116804842</v>
      </c>
      <c r="AF23" s="29">
        <f>Y23*10^-6*(S23+U23)</f>
        <v>0.55425625842204074</v>
      </c>
      <c r="AG23" s="26">
        <f>AE23/AF23</f>
        <v>13.714883496890069</v>
      </c>
      <c r="AH23" s="26"/>
      <c r="AI23" s="18">
        <f>(N23-AF23)*H23</f>
        <v>3.0012989970035853</v>
      </c>
      <c r="AJ23" s="18">
        <f>AE23/AI23</f>
        <v>2.5327566561244561</v>
      </c>
      <c r="AK23" s="18"/>
      <c r="AL23" s="16">
        <f>$K23/J23</f>
        <v>22.727272727272727</v>
      </c>
      <c r="AM23" s="16">
        <f>N23-AF23-AI23</f>
        <v>3.0012992935368743E-7</v>
      </c>
      <c r="AN23" s="26">
        <f>AL23/AM23</f>
        <v>75724779.5187058</v>
      </c>
      <c r="AO23" s="26"/>
      <c r="AP23" s="16">
        <f>1/(1/AG23+1/AJ23+1/AN23)</f>
        <v>2.1379388733913967</v>
      </c>
      <c r="AQ23" s="16">
        <f>AP23*N23</f>
        <v>7.6015604387249658</v>
      </c>
      <c r="AS23" s="24"/>
    </row>
    <row r="24" spans="1:45" ht="5" customHeight="1" x14ac:dyDescent="0.2">
      <c r="A24" s="35"/>
      <c r="B24" s="30"/>
    </row>
    <row r="25" spans="1:45" x14ac:dyDescent="0.2">
      <c r="A25" s="35"/>
      <c r="B25" s="16">
        <f>AP25*G25*10^-3</f>
        <v>2.515058621524429</v>
      </c>
      <c r="C25" s="17">
        <f>B25/B19</f>
        <v>0.60641598475203162</v>
      </c>
      <c r="D25" s="25">
        <v>8</v>
      </c>
      <c r="E25" s="25">
        <v>1.66</v>
      </c>
      <c r="F25" s="15">
        <f>P25*S25/8</f>
        <v>204.8</v>
      </c>
      <c r="G25" s="15">
        <f>F25*O25*8</f>
        <v>655.36000000000013</v>
      </c>
      <c r="H25" s="17">
        <v>9.9999999999999995E-8</v>
      </c>
      <c r="I25" s="25">
        <v>8.8000000000000007</v>
      </c>
      <c r="J25" s="25">
        <v>1.1000000000000001</v>
      </c>
      <c r="K25" s="15">
        <v>25</v>
      </c>
      <c r="L25" s="15">
        <v>25</v>
      </c>
      <c r="M25" s="25">
        <v>14</v>
      </c>
      <c r="N25" s="26">
        <f>D25/E25</f>
        <v>4.8192771084337354</v>
      </c>
      <c r="O25" s="25">
        <v>0.4</v>
      </c>
      <c r="P25" s="25">
        <v>1.6</v>
      </c>
      <c r="Q25" s="25">
        <f>512</f>
        <v>512</v>
      </c>
      <c r="R25" s="25">
        <v>2</v>
      </c>
      <c r="S25" s="15">
        <f>R25*Q25</f>
        <v>1024</v>
      </c>
      <c r="U25" s="15">
        <f t="shared" ref="U25:U26" si="5">IF(T25,Q25*2,0)</f>
        <v>0</v>
      </c>
      <c r="V25" s="15">
        <f>F25/D25</f>
        <v>25.6</v>
      </c>
      <c r="W25" s="15">
        <f>G25/N25</f>
        <v>135.9872</v>
      </c>
      <c r="Y25" s="27">
        <f>L25^2*SQRT(3)/2</f>
        <v>541.26587736527415</v>
      </c>
      <c r="Z25" s="27">
        <f>M25^2/4*3.14</f>
        <v>153.86000000000001</v>
      </c>
      <c r="AA25" s="27">
        <f>Y25-Z25</f>
        <v>387.40587736527414</v>
      </c>
      <c r="AB25" s="28">
        <f>I25/K25*Z25*10^-6</f>
        <v>5.4158720000000009E-5</v>
      </c>
      <c r="AC25" s="28">
        <f>J25/K25*AA25*10^-6</f>
        <v>1.704585860407206E-5</v>
      </c>
      <c r="AD25" s="28">
        <f>AB25+AC25</f>
        <v>7.1204578604072076E-5</v>
      </c>
      <c r="AE25" s="16">
        <f>1/AD25*Y25*10^-6</f>
        <v>7.6015600116804842</v>
      </c>
      <c r="AF25" s="29">
        <f>Y25*10^-6*(S25+U25)</f>
        <v>0.55425625842204074</v>
      </c>
      <c r="AG25" s="26">
        <f>AE25/AF25</f>
        <v>13.714883496890069</v>
      </c>
      <c r="AH25" s="26"/>
      <c r="AI25" s="18">
        <f>(N25-AF25)*H25</f>
        <v>4.2650208500116944E-7</v>
      </c>
      <c r="AJ25" s="18">
        <f>AE25/AI25</f>
        <v>17823031.302788686</v>
      </c>
      <c r="AK25" s="18"/>
      <c r="AL25" s="16">
        <f>$K25/J25</f>
        <v>22.727272727272727</v>
      </c>
      <c r="AM25" s="16">
        <f>N25-AF25-AI25</f>
        <v>4.2650204235096094</v>
      </c>
      <c r="AN25" s="26">
        <f>AL25/AM25</f>
        <v>5.3287605850597215</v>
      </c>
      <c r="AO25" s="26"/>
      <c r="AP25" s="16">
        <f>1/(1/AG25+1/AJ25+1/AN25)</f>
        <v>3.8376748985663278</v>
      </c>
      <c r="AQ25" s="16">
        <f>AP25*N25</f>
        <v>18.494818788271459</v>
      </c>
      <c r="AS25" s="24"/>
    </row>
    <row r="26" spans="1:45" x14ac:dyDescent="0.2">
      <c r="A26" s="35"/>
      <c r="B26" s="16">
        <f>AP26*G26*10^-3</f>
        <v>1.0337149225051523</v>
      </c>
      <c r="C26" s="17">
        <f>B26/B20</f>
        <v>0.88030362273496843</v>
      </c>
      <c r="D26" s="25">
        <v>8</v>
      </c>
      <c r="E26" s="25">
        <v>1.66</v>
      </c>
      <c r="F26" s="15">
        <f>P26*S26/8</f>
        <v>204.8</v>
      </c>
      <c r="G26" s="15">
        <f>F26*O26*8</f>
        <v>655.36000000000013</v>
      </c>
      <c r="H26" s="17">
        <v>0.99999990000000005</v>
      </c>
      <c r="I26" s="25">
        <v>8.8000000000000007</v>
      </c>
      <c r="J26" s="25">
        <v>1.1000000000000001</v>
      </c>
      <c r="K26" s="15">
        <v>25</v>
      </c>
      <c r="L26" s="15">
        <v>25</v>
      </c>
      <c r="M26" s="25">
        <v>14</v>
      </c>
      <c r="N26" s="26">
        <f>D26/E26</f>
        <v>4.8192771084337354</v>
      </c>
      <c r="O26" s="25">
        <v>0.4</v>
      </c>
      <c r="P26" s="25">
        <v>1.6</v>
      </c>
      <c r="Q26" s="25">
        <f>512</f>
        <v>512</v>
      </c>
      <c r="R26" s="25">
        <v>2</v>
      </c>
      <c r="S26" s="15">
        <f>R26*Q26</f>
        <v>1024</v>
      </c>
      <c r="U26" s="15">
        <f t="shared" si="5"/>
        <v>0</v>
      </c>
      <c r="V26" s="15">
        <f>F26/D26</f>
        <v>25.6</v>
      </c>
      <c r="W26" s="15">
        <f>G26/N26</f>
        <v>135.9872</v>
      </c>
      <c r="Y26" s="27">
        <f>L26^2*SQRT(3)/2</f>
        <v>541.26587736527415</v>
      </c>
      <c r="Z26" s="27">
        <f>M26^2/4*3.14</f>
        <v>153.86000000000001</v>
      </c>
      <c r="AA26" s="27">
        <f>Y26-Z26</f>
        <v>387.40587736527414</v>
      </c>
      <c r="AB26" s="28">
        <f>I26/K26*Z26*10^-6</f>
        <v>5.4158720000000009E-5</v>
      </c>
      <c r="AC26" s="28">
        <f>J26/K26*AA26*10^-6</f>
        <v>1.704585860407206E-5</v>
      </c>
      <c r="AD26" s="28">
        <f>AB26+AC26</f>
        <v>7.1204578604072076E-5</v>
      </c>
      <c r="AE26" s="16">
        <f>1/AD26*Y26*10^-6</f>
        <v>7.6015600116804842</v>
      </c>
      <c r="AF26" s="29">
        <f>Y26*10^-6*(S26+U26)</f>
        <v>0.55425625842204074</v>
      </c>
      <c r="AG26" s="26">
        <f>AE26/AF26</f>
        <v>13.714883496890069</v>
      </c>
      <c r="AH26" s="26"/>
      <c r="AI26" s="18">
        <f>(N26-AF26)*H26</f>
        <v>4.2650204235096094</v>
      </c>
      <c r="AJ26" s="18">
        <f>AE26/AI26</f>
        <v>1.7823033085091995</v>
      </c>
      <c r="AK26" s="18"/>
      <c r="AL26" s="16">
        <f>$K26/J26</f>
        <v>22.727272727272727</v>
      </c>
      <c r="AM26" s="16">
        <f>N26-AF26-AI26</f>
        <v>4.265020852045609E-7</v>
      </c>
      <c r="AN26" s="26">
        <f>AL26/AM26</f>
        <v>53287600.496424697</v>
      </c>
      <c r="AO26" s="26"/>
      <c r="AP26" s="16">
        <f>1/(1/AG26+1/AJ26+1/AN26)</f>
        <v>1.5773237953264652</v>
      </c>
      <c r="AQ26" s="16">
        <f>AP26*N26</f>
        <v>7.6015604594046522</v>
      </c>
      <c r="AS26" s="24"/>
    </row>
    <row r="27" spans="1:45" x14ac:dyDescent="0.2">
      <c r="B27" s="30"/>
    </row>
    <row r="28" spans="1:45" x14ac:dyDescent="0.2">
      <c r="A28" s="34" t="s">
        <v>99</v>
      </c>
      <c r="B28" s="16">
        <f>AP28*G28*10^-3</f>
        <v>7.193577027044765</v>
      </c>
      <c r="C28" s="17">
        <f>B28/B16</f>
        <v>1.4293043676074362</v>
      </c>
      <c r="D28" s="25">
        <v>4</v>
      </c>
      <c r="E28" s="25">
        <v>2.25</v>
      </c>
      <c r="F28" s="15">
        <f>P28*S28/8</f>
        <v>204.8</v>
      </c>
      <c r="G28" s="15">
        <f>F28*O28*8</f>
        <v>655.36000000000013</v>
      </c>
      <c r="H28" s="17">
        <v>9.9999999999999995E-8</v>
      </c>
      <c r="I28" s="25">
        <v>8.8000000000000007</v>
      </c>
      <c r="J28" s="25">
        <v>0.55000000000000004</v>
      </c>
      <c r="K28" s="15">
        <v>25</v>
      </c>
      <c r="L28" s="15">
        <v>25</v>
      </c>
      <c r="M28" s="25">
        <v>14</v>
      </c>
      <c r="N28" s="26">
        <f>D28/E28</f>
        <v>1.7777777777777777</v>
      </c>
      <c r="O28" s="25">
        <v>0.4</v>
      </c>
      <c r="P28" s="25">
        <v>1.6</v>
      </c>
      <c r="Q28" s="25">
        <f>512</f>
        <v>512</v>
      </c>
      <c r="R28" s="25">
        <v>2</v>
      </c>
      <c r="S28" s="15">
        <f>R28*Q28</f>
        <v>1024</v>
      </c>
      <c r="U28" s="15">
        <f t="shared" ref="U28:U29" si="6">IF(T28,Q28*2,0)</f>
        <v>0</v>
      </c>
      <c r="V28" s="15">
        <f>F28/D28</f>
        <v>51.2</v>
      </c>
      <c r="W28" s="15">
        <f>G28/N28</f>
        <v>368.6400000000001</v>
      </c>
      <c r="Y28" s="27">
        <f>L28^2*SQRT(3)/2</f>
        <v>541.26587736527415</v>
      </c>
      <c r="Z28" s="27">
        <f>M28^2/4*3.14</f>
        <v>153.86000000000001</v>
      </c>
      <c r="AA28" s="27">
        <f>Y28-Z28</f>
        <v>387.40587736527414</v>
      </c>
      <c r="AB28" s="28">
        <f>I28/K28*Z28*10^-6</f>
        <v>5.4158720000000009E-5</v>
      </c>
      <c r="AC28" s="28">
        <f>J28/K28*AA28*10^-6</f>
        <v>8.5229293020360302E-6</v>
      </c>
      <c r="AD28" s="28">
        <f>AB28+AC28</f>
        <v>6.2681649302036039E-5</v>
      </c>
      <c r="AE28" s="16">
        <f>1/AD28*Y28*10^-6</f>
        <v>8.635156914221346</v>
      </c>
      <c r="AF28" s="29">
        <f>Y28*10^-6*(S28+U28)</f>
        <v>0.55425625842204074</v>
      </c>
      <c r="AG28" s="26">
        <f>AE28/AF28</f>
        <v>15.579719277876102</v>
      </c>
      <c r="AH28" s="26"/>
      <c r="AI28" s="18">
        <f>(N28-AF28)*H28</f>
        <v>1.223521519355737E-7</v>
      </c>
      <c r="AJ28" s="18">
        <f>AE28/AI28</f>
        <v>70576256.956790701</v>
      </c>
      <c r="AK28" s="18"/>
      <c r="AL28" s="16">
        <f>$K28/J28</f>
        <v>45.454545454545453</v>
      </c>
      <c r="AM28" s="16">
        <f>N28-AF28-AI28</f>
        <v>1.223521397003585</v>
      </c>
      <c r="AN28" s="26">
        <f>AL28/AM28</f>
        <v>37.150593006271933</v>
      </c>
      <c r="AO28" s="26"/>
      <c r="AP28" s="16">
        <f>1/(1/AG28+1/AJ28+1/AN28)</f>
        <v>10.97652744605219</v>
      </c>
      <c r="AQ28" s="16">
        <f>AP28*N28</f>
        <v>19.513826570759448</v>
      </c>
      <c r="AS28" s="24"/>
    </row>
    <row r="29" spans="1:45" x14ac:dyDescent="0.2">
      <c r="A29" s="34"/>
      <c r="B29" s="16">
        <f>AP29*G29*10^-3</f>
        <v>3.1832644223208582</v>
      </c>
      <c r="C29" s="17">
        <f>B29/B17</f>
        <v>1.9999999747458699</v>
      </c>
      <c r="D29" s="25">
        <v>4</v>
      </c>
      <c r="E29" s="25">
        <v>2.25</v>
      </c>
      <c r="F29" s="15">
        <f>P29*S29/8</f>
        <v>204.8</v>
      </c>
      <c r="G29" s="15">
        <f>F29*O29*8</f>
        <v>655.36000000000013</v>
      </c>
      <c r="H29" s="17">
        <v>0.99999990000000005</v>
      </c>
      <c r="I29" s="25">
        <v>8.8000000000000007</v>
      </c>
      <c r="J29" s="25">
        <v>0.55000000000000004</v>
      </c>
      <c r="K29" s="15">
        <v>25</v>
      </c>
      <c r="L29" s="15">
        <v>25</v>
      </c>
      <c r="M29" s="25">
        <v>14</v>
      </c>
      <c r="N29" s="26">
        <f>D29/E29</f>
        <v>1.7777777777777777</v>
      </c>
      <c r="O29" s="25">
        <v>0.4</v>
      </c>
      <c r="P29" s="25">
        <v>1.6</v>
      </c>
      <c r="Q29" s="25">
        <f>512</f>
        <v>512</v>
      </c>
      <c r="R29" s="25">
        <v>2</v>
      </c>
      <c r="S29" s="15">
        <f>R29*Q29</f>
        <v>1024</v>
      </c>
      <c r="U29" s="15">
        <f t="shared" si="6"/>
        <v>0</v>
      </c>
      <c r="V29" s="15">
        <f>F29/D29</f>
        <v>51.2</v>
      </c>
      <c r="W29" s="15">
        <f>G29/N29</f>
        <v>368.6400000000001</v>
      </c>
      <c r="Y29" s="27">
        <f>L29^2*SQRT(3)/2</f>
        <v>541.26587736527415</v>
      </c>
      <c r="Z29" s="27">
        <f>M29^2/4*3.14</f>
        <v>153.86000000000001</v>
      </c>
      <c r="AA29" s="27">
        <f>Y29-Z29</f>
        <v>387.40587736527414</v>
      </c>
      <c r="AB29" s="28">
        <f>I29/K29*Z29*10^-6</f>
        <v>5.4158720000000009E-5</v>
      </c>
      <c r="AC29" s="28">
        <f>J29/K29*AA29*10^-6</f>
        <v>8.5229293020360302E-6</v>
      </c>
      <c r="AD29" s="28">
        <f>AB29+AC29</f>
        <v>6.2681649302036039E-5</v>
      </c>
      <c r="AE29" s="16">
        <f>1/AD29*Y29*10^-6</f>
        <v>8.635156914221346</v>
      </c>
      <c r="AF29" s="29">
        <f>Y29*10^-6*(S29+U29)</f>
        <v>0.55425625842204074</v>
      </c>
      <c r="AG29" s="26">
        <f>AE29/AF29</f>
        <v>15.579719277876102</v>
      </c>
      <c r="AH29" s="26"/>
      <c r="AI29" s="18">
        <f>(N29-AF29)*H29</f>
        <v>1.223521397003585</v>
      </c>
      <c r="AJ29" s="18">
        <f>AE29/AI29</f>
        <v>7.0576264014417109</v>
      </c>
      <c r="AK29" s="18"/>
      <c r="AL29" s="16">
        <f>$K29/J29</f>
        <v>45.454545454545453</v>
      </c>
      <c r="AM29" s="16">
        <f>N29-AF29-AI29</f>
        <v>1.223521519655435E-7</v>
      </c>
      <c r="AN29" s="26">
        <f>AL29/AM29</f>
        <v>371505892.82112706</v>
      </c>
      <c r="AO29" s="26"/>
      <c r="AP29" s="16">
        <f>1/(1/AG29+1/AJ29+1/AN29)</f>
        <v>4.857276035035488</v>
      </c>
      <c r="AQ29" s="16">
        <f>AP29*N29</f>
        <v>8.6351573956186449</v>
      </c>
      <c r="AS29" s="24"/>
    </row>
    <row r="30" spans="1:45" ht="5" customHeight="1" x14ac:dyDescent="0.2">
      <c r="A30" s="34"/>
      <c r="B30" s="30"/>
    </row>
    <row r="31" spans="1:45" x14ac:dyDescent="0.2">
      <c r="A31" s="34"/>
      <c r="B31" s="16">
        <f>AP31*G31*10^-3</f>
        <v>6.2412600837530787</v>
      </c>
      <c r="C31" s="17">
        <f>B31/B19</f>
        <v>1.5048555319512296</v>
      </c>
      <c r="D31" s="25">
        <v>4</v>
      </c>
      <c r="E31" s="25">
        <v>1.66</v>
      </c>
      <c r="F31" s="15">
        <f>P31*S31/8</f>
        <v>204.8</v>
      </c>
      <c r="G31" s="15">
        <f>F31*O31*8</f>
        <v>655.36000000000013</v>
      </c>
      <c r="H31" s="17">
        <v>9.9999999999999995E-8</v>
      </c>
      <c r="I31" s="25">
        <v>8.8000000000000007</v>
      </c>
      <c r="J31" s="25">
        <v>0.55000000000000004</v>
      </c>
      <c r="K31" s="15">
        <v>25</v>
      </c>
      <c r="L31" s="15">
        <v>25</v>
      </c>
      <c r="M31" s="25">
        <v>14</v>
      </c>
      <c r="N31" s="26">
        <f>D31/E31</f>
        <v>2.4096385542168677</v>
      </c>
      <c r="O31" s="25">
        <v>0.4</v>
      </c>
      <c r="P31" s="25">
        <v>1.6</v>
      </c>
      <c r="Q31" s="25">
        <f>512</f>
        <v>512</v>
      </c>
      <c r="R31" s="25">
        <v>2</v>
      </c>
      <c r="S31" s="15">
        <f>R31*Q31</f>
        <v>1024</v>
      </c>
      <c r="U31" s="15">
        <f t="shared" ref="U31:U32" si="7">IF(T31,Q31*2,0)</f>
        <v>0</v>
      </c>
      <c r="V31" s="15">
        <f>F31/D31</f>
        <v>51.2</v>
      </c>
      <c r="W31" s="15">
        <f>G31/N31</f>
        <v>271.9744</v>
      </c>
      <c r="Y31" s="27">
        <f>L31^2*SQRT(3)/2</f>
        <v>541.26587736527415</v>
      </c>
      <c r="Z31" s="27">
        <f>M31^2/4*3.14</f>
        <v>153.86000000000001</v>
      </c>
      <c r="AA31" s="27">
        <f>Y31-Z31</f>
        <v>387.40587736527414</v>
      </c>
      <c r="AB31" s="28">
        <f>I31/K31*Z31*10^-6</f>
        <v>5.4158720000000009E-5</v>
      </c>
      <c r="AC31" s="28">
        <f>J31/K31*AA31*10^-6</f>
        <v>8.5229293020360302E-6</v>
      </c>
      <c r="AD31" s="28">
        <f>AB31+AC31</f>
        <v>6.2681649302036039E-5</v>
      </c>
      <c r="AE31" s="16">
        <f>1/AD31*Y31*10^-6</f>
        <v>8.635156914221346</v>
      </c>
      <c r="AF31" s="29">
        <f>Y31*10^-6*(S31+U31)</f>
        <v>0.55425625842204074</v>
      </c>
      <c r="AG31" s="26">
        <f>AE31/AF31</f>
        <v>15.579719277876102</v>
      </c>
      <c r="AH31" s="26"/>
      <c r="AI31" s="18">
        <f>(N31-AF31)*H31</f>
        <v>1.8553822957948268E-7</v>
      </c>
      <c r="AJ31" s="18">
        <f>AE31/AI31</f>
        <v>46541119.497543409</v>
      </c>
      <c r="AK31" s="18"/>
      <c r="AL31" s="16">
        <f>$K31/J31</f>
        <v>45.454545454545453</v>
      </c>
      <c r="AM31" s="16">
        <f>N31-AF31-AI31</f>
        <v>1.8553821102565973</v>
      </c>
      <c r="AN31" s="26">
        <f>AL31/AM31</f>
        <v>24.498751606621418</v>
      </c>
      <c r="AO31" s="26"/>
      <c r="AP31" s="16">
        <f>1/(1/AG31+1/AJ31+1/AN31)</f>
        <v>9.5234071102189297</v>
      </c>
      <c r="AQ31" s="16">
        <f>AP31*N31</f>
        <v>22.947968940286579</v>
      </c>
      <c r="AS31" s="24"/>
    </row>
    <row r="32" spans="1:45" x14ac:dyDescent="0.2">
      <c r="A32" s="34"/>
      <c r="B32" s="16">
        <f>AP32*G32*10^-3</f>
        <v>2.3485417671314432</v>
      </c>
      <c r="C32" s="17">
        <f>B32/B20</f>
        <v>1.9999999813680638</v>
      </c>
      <c r="D32" s="25">
        <v>4</v>
      </c>
      <c r="E32" s="25">
        <v>1.66</v>
      </c>
      <c r="F32" s="15">
        <f>P32*S32/8</f>
        <v>204.8</v>
      </c>
      <c r="G32" s="15">
        <f>F32*O32*8</f>
        <v>655.36000000000013</v>
      </c>
      <c r="H32" s="17">
        <v>0.99999990000000005</v>
      </c>
      <c r="I32" s="25">
        <v>8.8000000000000007</v>
      </c>
      <c r="J32" s="25">
        <v>0.55000000000000004</v>
      </c>
      <c r="K32" s="15">
        <v>25</v>
      </c>
      <c r="L32" s="15">
        <v>25</v>
      </c>
      <c r="M32" s="25">
        <v>14</v>
      </c>
      <c r="N32" s="26">
        <f>D32/E32</f>
        <v>2.4096385542168677</v>
      </c>
      <c r="O32" s="25">
        <v>0.4</v>
      </c>
      <c r="P32" s="25">
        <v>1.6</v>
      </c>
      <c r="Q32" s="25">
        <f>512</f>
        <v>512</v>
      </c>
      <c r="R32" s="25">
        <v>2</v>
      </c>
      <c r="S32" s="15">
        <f>R32*Q32</f>
        <v>1024</v>
      </c>
      <c r="U32" s="15">
        <f t="shared" si="7"/>
        <v>0</v>
      </c>
      <c r="V32" s="15">
        <f>F32/D32</f>
        <v>51.2</v>
      </c>
      <c r="W32" s="15">
        <f>G32/N32</f>
        <v>271.9744</v>
      </c>
      <c r="Y32" s="27">
        <f>L32^2*SQRT(3)/2</f>
        <v>541.26587736527415</v>
      </c>
      <c r="Z32" s="27">
        <f>M32^2/4*3.14</f>
        <v>153.86000000000001</v>
      </c>
      <c r="AA32" s="27">
        <f>Y32-Z32</f>
        <v>387.40587736527414</v>
      </c>
      <c r="AB32" s="28">
        <f>I32/K32*Z32*10^-6</f>
        <v>5.4158720000000009E-5</v>
      </c>
      <c r="AC32" s="28">
        <f>J32/K32*AA32*10^-6</f>
        <v>8.5229293020360302E-6</v>
      </c>
      <c r="AD32" s="28">
        <f>AB32+AC32</f>
        <v>6.2681649302036039E-5</v>
      </c>
      <c r="AE32" s="16">
        <f>1/AD32*Y32*10^-6</f>
        <v>8.635156914221346</v>
      </c>
      <c r="AF32" s="29">
        <f>Y32*10^-6*(S32+U32)</f>
        <v>0.55425625842204074</v>
      </c>
      <c r="AG32" s="26">
        <f>AE32/AF32</f>
        <v>15.579719277876102</v>
      </c>
      <c r="AH32" s="26"/>
      <c r="AI32" s="18">
        <f>(N32-AF32)*H32</f>
        <v>1.8553821102565975</v>
      </c>
      <c r="AJ32" s="18">
        <f>AE32/AI32</f>
        <v>4.6541124151655815</v>
      </c>
      <c r="AK32" s="18"/>
      <c r="AL32" s="16">
        <f>$K32/J32</f>
        <v>45.454545454545453</v>
      </c>
      <c r="AM32" s="16">
        <f>N32-AF32-AI32</f>
        <v>1.8553822944689102E-7</v>
      </c>
      <c r="AN32" s="26">
        <f>AL32/AM32</f>
        <v>244987491.74253863</v>
      </c>
      <c r="AO32" s="26"/>
      <c r="AP32" s="16">
        <f>1/(1/AG32+1/AJ32+1/AN32)</f>
        <v>3.5835903429129679</v>
      </c>
      <c r="AQ32" s="16">
        <f>AP32*N32</f>
        <v>8.635157452802332</v>
      </c>
      <c r="AS32" s="24"/>
    </row>
    <row r="33" spans="1:45" x14ac:dyDescent="0.2">
      <c r="B33" s="30"/>
    </row>
    <row r="34" spans="1:45" x14ac:dyDescent="0.2">
      <c r="A34" s="34" t="s">
        <v>100</v>
      </c>
      <c r="B34" s="16">
        <f>AP34*G34*10^-3</f>
        <v>9.1597339149496921</v>
      </c>
      <c r="C34" s="17">
        <f>B34/B16</f>
        <v>1.8199635093277058</v>
      </c>
      <c r="D34" s="25">
        <v>2</v>
      </c>
      <c r="E34" s="25">
        <v>2.25</v>
      </c>
      <c r="F34" s="15">
        <f>P34*S34/8</f>
        <v>204.8</v>
      </c>
      <c r="G34" s="15">
        <f>F34*O34*8</f>
        <v>655.36000000000013</v>
      </c>
      <c r="H34" s="17">
        <v>9.9999999999999995E-8</v>
      </c>
      <c r="I34" s="25">
        <v>8.8000000000000007</v>
      </c>
      <c r="J34" s="25">
        <v>0.55000000000000004</v>
      </c>
      <c r="K34" s="15">
        <v>25</v>
      </c>
      <c r="L34" s="15">
        <v>25</v>
      </c>
      <c r="M34" s="25">
        <v>14</v>
      </c>
      <c r="N34" s="26">
        <f>D34/E34</f>
        <v>0.88888888888888884</v>
      </c>
      <c r="O34" s="25">
        <v>0.4</v>
      </c>
      <c r="P34" s="25">
        <v>1.6</v>
      </c>
      <c r="Q34" s="25">
        <f>512</f>
        <v>512</v>
      </c>
      <c r="R34" s="25">
        <v>2</v>
      </c>
      <c r="S34" s="15">
        <f>R34*Q34</f>
        <v>1024</v>
      </c>
      <c r="U34" s="15">
        <f t="shared" ref="U34:U35" si="8">IF(T34,Q34*2,0)</f>
        <v>0</v>
      </c>
      <c r="V34" s="15">
        <f>F34/D34</f>
        <v>102.4</v>
      </c>
      <c r="W34" s="15">
        <f>G34/N34</f>
        <v>737.2800000000002</v>
      </c>
      <c r="Y34" s="27">
        <f>L34^2*SQRT(3)/2</f>
        <v>541.26587736527415</v>
      </c>
      <c r="Z34" s="27">
        <f>M34^2/4*3.14</f>
        <v>153.86000000000001</v>
      </c>
      <c r="AA34" s="27">
        <f>Y34-Z34</f>
        <v>387.40587736527414</v>
      </c>
      <c r="AB34" s="28">
        <f>I34/K34*Z34*10^-6</f>
        <v>5.4158720000000009E-5</v>
      </c>
      <c r="AC34" s="28">
        <f>J34/K34*AA34*10^-6</f>
        <v>8.5229293020360302E-6</v>
      </c>
      <c r="AD34" s="28">
        <f>AB34+AC34</f>
        <v>6.2681649302036039E-5</v>
      </c>
      <c r="AE34" s="16">
        <f>1/AD34*Y34*10^-6</f>
        <v>8.635156914221346</v>
      </c>
      <c r="AF34" s="29">
        <f>Y34*10^-6*(S34+U34)</f>
        <v>0.55425625842204074</v>
      </c>
      <c r="AG34" s="26">
        <f>AE34/AF34</f>
        <v>15.579719277876102</v>
      </c>
      <c r="AH34" s="26"/>
      <c r="AI34" s="18">
        <f>(N34-AF34)*H34</f>
        <v>3.3463263046684811E-8</v>
      </c>
      <c r="AJ34" s="18">
        <f>AE34/AI34</f>
        <v>258048860.99046537</v>
      </c>
      <c r="AK34" s="18"/>
      <c r="AL34" s="16">
        <f>$K34/J34</f>
        <v>45.454545454545453</v>
      </c>
      <c r="AM34" s="16">
        <f>N34-AF34-AI34</f>
        <v>0.33463259700358505</v>
      </c>
      <c r="AN34" s="26">
        <f>AL34/AM34</f>
        <v>135.83418310577341</v>
      </c>
      <c r="AO34" s="26"/>
      <c r="AP34" s="16">
        <f>1/(1/AG34+1/AJ34+1/AN34)</f>
        <v>13.976644767684464</v>
      </c>
      <c r="AQ34" s="16">
        <f>AP34*N34</f>
        <v>12.423684237941744</v>
      </c>
      <c r="AS34" s="24"/>
    </row>
    <row r="35" spans="1:45" x14ac:dyDescent="0.2">
      <c r="A35" s="34"/>
      <c r="B35" s="16">
        <f>AP35*G35*10^-3</f>
        <v>6.366528683860575</v>
      </c>
      <c r="C35" s="17">
        <f>B35/B17</f>
        <v>3.9999998484752246</v>
      </c>
      <c r="D35" s="25">
        <v>2</v>
      </c>
      <c r="E35" s="25">
        <v>2.25</v>
      </c>
      <c r="F35" s="15">
        <f>P35*S35/8</f>
        <v>204.8</v>
      </c>
      <c r="G35" s="15">
        <f>F35*O35*8</f>
        <v>655.36000000000013</v>
      </c>
      <c r="H35" s="17">
        <v>0.99999990000000005</v>
      </c>
      <c r="I35" s="25">
        <v>8.8000000000000007</v>
      </c>
      <c r="J35" s="25">
        <v>0.55000000000000004</v>
      </c>
      <c r="K35" s="15">
        <v>25</v>
      </c>
      <c r="L35" s="15">
        <v>25</v>
      </c>
      <c r="M35" s="25">
        <v>14</v>
      </c>
      <c r="N35" s="26">
        <f>D35/E35</f>
        <v>0.88888888888888884</v>
      </c>
      <c r="O35" s="25">
        <v>0.4</v>
      </c>
      <c r="P35" s="25">
        <v>1.6</v>
      </c>
      <c r="Q35" s="25">
        <f>512</f>
        <v>512</v>
      </c>
      <c r="R35" s="25">
        <v>2</v>
      </c>
      <c r="S35" s="15">
        <f>R35*Q35</f>
        <v>1024</v>
      </c>
      <c r="U35" s="15">
        <f t="shared" si="8"/>
        <v>0</v>
      </c>
      <c r="V35" s="15">
        <f>F35/D35</f>
        <v>102.4</v>
      </c>
      <c r="W35" s="15">
        <f>G35/N35</f>
        <v>737.2800000000002</v>
      </c>
      <c r="Y35" s="27">
        <f>L35^2*SQRT(3)/2</f>
        <v>541.26587736527415</v>
      </c>
      <c r="Z35" s="27">
        <f>M35^2/4*3.14</f>
        <v>153.86000000000001</v>
      </c>
      <c r="AA35" s="27">
        <f>Y35-Z35</f>
        <v>387.40587736527414</v>
      </c>
      <c r="AB35" s="28">
        <f>I35/K35*Z35*10^-6</f>
        <v>5.4158720000000009E-5</v>
      </c>
      <c r="AC35" s="28">
        <f>J35/K35*AA35*10^-6</f>
        <v>8.5229293020360302E-6</v>
      </c>
      <c r="AD35" s="28">
        <f>AB35+AC35</f>
        <v>6.2681649302036039E-5</v>
      </c>
      <c r="AE35" s="16">
        <f>1/AD35*Y35*10^-6</f>
        <v>8.635156914221346</v>
      </c>
      <c r="AF35" s="29">
        <f>Y35*10^-6*(S35+U35)</f>
        <v>0.55425625842204074</v>
      </c>
      <c r="AG35" s="26">
        <f>AE35/AF35</f>
        <v>15.579719277876102</v>
      </c>
      <c r="AH35" s="26"/>
      <c r="AI35" s="18">
        <f>(N35-AF35)*H35</f>
        <v>0.33463259700358505</v>
      </c>
      <c r="AJ35" s="18">
        <f>AE35/AI35</f>
        <v>25.804888679535406</v>
      </c>
      <c r="AK35" s="18"/>
      <c r="AL35" s="16">
        <f>$K35/J35</f>
        <v>45.454545454545453</v>
      </c>
      <c r="AM35" s="16">
        <f>N35-AF35-AI35</f>
        <v>3.3463263049426928E-8</v>
      </c>
      <c r="AN35" s="26">
        <f>AL35/AM35</f>
        <v>1358341695.1122429</v>
      </c>
      <c r="AO35" s="26"/>
      <c r="AP35" s="16">
        <f>1/(1/AG35+1/AJ35+1/AN35)</f>
        <v>9.7145518247384253</v>
      </c>
      <c r="AQ35" s="16">
        <f>AP35*N35</f>
        <v>8.6351571775452669</v>
      </c>
      <c r="AS35" s="24"/>
    </row>
    <row r="36" spans="1:45" ht="5" customHeight="1" x14ac:dyDescent="0.2">
      <c r="A36" s="34"/>
      <c r="B36" s="30"/>
    </row>
    <row r="37" spans="1:45" x14ac:dyDescent="0.2">
      <c r="A37" s="34"/>
      <c r="B37" s="16">
        <f>AP37*G37*10^-3</f>
        <v>8.3487050477445841</v>
      </c>
      <c r="C37" s="17">
        <f>B37/B19</f>
        <v>2.0129901345455035</v>
      </c>
      <c r="D37" s="25">
        <v>2</v>
      </c>
      <c r="E37" s="25">
        <v>1.66</v>
      </c>
      <c r="F37" s="15">
        <f>P37*S37/8</f>
        <v>204.8</v>
      </c>
      <c r="G37" s="15">
        <f>F37*O37*8</f>
        <v>655.36000000000013</v>
      </c>
      <c r="H37" s="17">
        <v>9.9999999999999995E-8</v>
      </c>
      <c r="I37" s="25">
        <v>8.8000000000000007</v>
      </c>
      <c r="J37" s="25">
        <v>0.55000000000000004</v>
      </c>
      <c r="K37" s="15">
        <v>25</v>
      </c>
      <c r="L37" s="15">
        <v>25</v>
      </c>
      <c r="M37" s="25">
        <v>14</v>
      </c>
      <c r="N37" s="26">
        <f>D37/E37</f>
        <v>1.2048192771084338</v>
      </c>
      <c r="O37" s="25">
        <v>0.4</v>
      </c>
      <c r="P37" s="25">
        <v>1.6</v>
      </c>
      <c r="Q37" s="25">
        <f>512</f>
        <v>512</v>
      </c>
      <c r="R37" s="25">
        <v>2</v>
      </c>
      <c r="S37" s="15">
        <f>R37*Q37</f>
        <v>1024</v>
      </c>
      <c r="U37" s="15">
        <f t="shared" ref="U37:U38" si="9">IF(T37,Q37*2,0)</f>
        <v>0</v>
      </c>
      <c r="V37" s="15">
        <f>F37/D37</f>
        <v>102.4</v>
      </c>
      <c r="W37" s="15">
        <f>G37/N37</f>
        <v>543.94880000000001</v>
      </c>
      <c r="Y37" s="27">
        <f>L37^2*SQRT(3)/2</f>
        <v>541.26587736527415</v>
      </c>
      <c r="Z37" s="27">
        <f>M37^2/4*3.14</f>
        <v>153.86000000000001</v>
      </c>
      <c r="AA37" s="27">
        <f>Y37-Z37</f>
        <v>387.40587736527414</v>
      </c>
      <c r="AB37" s="28">
        <f>I37/K37*Z37*10^-6</f>
        <v>5.4158720000000009E-5</v>
      </c>
      <c r="AC37" s="28">
        <f>J37/K37*AA37*10^-6</f>
        <v>8.5229293020360302E-6</v>
      </c>
      <c r="AD37" s="28">
        <f>AB37+AC37</f>
        <v>6.2681649302036039E-5</v>
      </c>
      <c r="AE37" s="16">
        <f>1/AD37*Y37*10^-6</f>
        <v>8.635156914221346</v>
      </c>
      <c r="AF37" s="29">
        <f>Y37*10^-6*(S37+U37)</f>
        <v>0.55425625842204074</v>
      </c>
      <c r="AG37" s="26">
        <f>AE37/AF37</f>
        <v>15.579719277876102</v>
      </c>
      <c r="AH37" s="26"/>
      <c r="AI37" s="18">
        <f>(N37-AF37)*H37</f>
        <v>6.5056301868639306E-8</v>
      </c>
      <c r="AJ37" s="18">
        <f>AE37/AI37</f>
        <v>132733596.38021423</v>
      </c>
      <c r="AK37" s="18"/>
      <c r="AL37" s="16">
        <f>$K37/J37</f>
        <v>45.454545454545453</v>
      </c>
      <c r="AM37" s="16">
        <f>N37-AF37-AI37</f>
        <v>0.6505629536300912</v>
      </c>
      <c r="AN37" s="26">
        <f>AL37/AM37</f>
        <v>69.869557128810655</v>
      </c>
      <c r="AO37" s="26"/>
      <c r="AP37" s="16">
        <f>1/(1/AG37+1/AJ37+1/AN37)</f>
        <v>12.739112926856357</v>
      </c>
      <c r="AQ37" s="16">
        <f>AP37*N37</f>
        <v>15.348328827537781</v>
      </c>
      <c r="AS37" s="24"/>
    </row>
    <row r="38" spans="1:45" x14ac:dyDescent="0.2">
      <c r="A38" s="34"/>
      <c r="B38" s="16">
        <f>AP38*G38*10^-3</f>
        <v>4.697083446747131</v>
      </c>
      <c r="C38" s="17">
        <f>B38/B20</f>
        <v>3.999999888208388</v>
      </c>
      <c r="D38" s="25">
        <v>2</v>
      </c>
      <c r="E38" s="25">
        <v>1.66</v>
      </c>
      <c r="F38" s="15">
        <f>P38*S38/8</f>
        <v>204.8</v>
      </c>
      <c r="G38" s="15">
        <f>F38*O38*8</f>
        <v>655.36000000000013</v>
      </c>
      <c r="H38" s="17">
        <v>0.99999990000000005</v>
      </c>
      <c r="I38" s="25">
        <v>8.8000000000000007</v>
      </c>
      <c r="J38" s="25">
        <v>0.55000000000000004</v>
      </c>
      <c r="K38" s="15">
        <v>25</v>
      </c>
      <c r="L38" s="15">
        <v>25</v>
      </c>
      <c r="M38" s="25">
        <v>14</v>
      </c>
      <c r="N38" s="26">
        <f>D38/E38</f>
        <v>1.2048192771084338</v>
      </c>
      <c r="O38" s="25">
        <v>0.4</v>
      </c>
      <c r="P38" s="25">
        <v>1.6</v>
      </c>
      <c r="Q38" s="25">
        <f>512</f>
        <v>512</v>
      </c>
      <c r="R38" s="25">
        <v>2</v>
      </c>
      <c r="S38" s="15">
        <f>R38*Q38</f>
        <v>1024</v>
      </c>
      <c r="U38" s="15">
        <f t="shared" si="9"/>
        <v>0</v>
      </c>
      <c r="V38" s="15">
        <f>F38/D38</f>
        <v>102.4</v>
      </c>
      <c r="W38" s="15">
        <f>G38/N38</f>
        <v>543.94880000000001</v>
      </c>
      <c r="Y38" s="27">
        <f>L38^2*SQRT(3)/2</f>
        <v>541.26587736527415</v>
      </c>
      <c r="Z38" s="27">
        <f>M38^2/4*3.14</f>
        <v>153.86000000000001</v>
      </c>
      <c r="AA38" s="27">
        <f>Y38-Z38</f>
        <v>387.40587736527414</v>
      </c>
      <c r="AB38" s="28">
        <f>I38/K38*Z38*10^-6</f>
        <v>5.4158720000000009E-5</v>
      </c>
      <c r="AC38" s="28">
        <f>J38/K38*AA38*10^-6</f>
        <v>8.5229293020360302E-6</v>
      </c>
      <c r="AD38" s="28">
        <f>AB38+AC38</f>
        <v>6.2681649302036039E-5</v>
      </c>
      <c r="AE38" s="16">
        <f>1/AD38*Y38*10^-6</f>
        <v>8.635156914221346</v>
      </c>
      <c r="AF38" s="29">
        <f>Y38*10^-6*(S38+U38)</f>
        <v>0.55425625842204074</v>
      </c>
      <c r="AG38" s="26">
        <f>AE38/AF38</f>
        <v>15.579719277876102</v>
      </c>
      <c r="AH38" s="26"/>
      <c r="AI38" s="18">
        <f>(N38-AF38)*H38</f>
        <v>0.65056295363009131</v>
      </c>
      <c r="AJ38" s="18">
        <f>AE38/AI38</f>
        <v>13.273360965357517</v>
      </c>
      <c r="AK38" s="18"/>
      <c r="AL38" s="16">
        <f>$K38/J38</f>
        <v>45.454545454545453</v>
      </c>
      <c r="AM38" s="16">
        <f>N38-AF38-AI38</f>
        <v>6.505630179010069E-8</v>
      </c>
      <c r="AN38" s="26">
        <f>AL38/AM38</f>
        <v>698695502.26204312</v>
      </c>
      <c r="AO38" s="26"/>
      <c r="AP38" s="16">
        <f>1/(1/AG38+1/AJ38+1/AN38)</f>
        <v>7.1671805522874896</v>
      </c>
      <c r="AQ38" s="16">
        <f>AP38*N38</f>
        <v>8.6351572919126394</v>
      </c>
      <c r="AS38" s="24"/>
    </row>
    <row r="39" spans="1:45" x14ac:dyDescent="0.2">
      <c r="B39" s="30"/>
    </row>
    <row r="40" spans="1:45" x14ac:dyDescent="0.2">
      <c r="A40" s="34" t="s">
        <v>101</v>
      </c>
      <c r="B40" s="16">
        <f>AP40*G40*10^-3</f>
        <v>3.1441653173675896</v>
      </c>
      <c r="C40" s="17">
        <f>B40/B16</f>
        <v>0.62471969142721617</v>
      </c>
      <c r="D40" s="25">
        <v>16</v>
      </c>
      <c r="E40" s="25">
        <v>2.25</v>
      </c>
      <c r="F40" s="15">
        <f>P40*S40/8</f>
        <v>204.8</v>
      </c>
      <c r="G40" s="15">
        <f>F40*O40*8</f>
        <v>655.36000000000013</v>
      </c>
      <c r="H40" s="17">
        <v>9.9999999999999995E-8</v>
      </c>
      <c r="I40" s="25">
        <v>8.8000000000000007</v>
      </c>
      <c r="J40" s="25">
        <v>0.55000000000000004</v>
      </c>
      <c r="K40" s="15">
        <v>25</v>
      </c>
      <c r="L40" s="15">
        <v>25</v>
      </c>
      <c r="M40" s="25">
        <v>14</v>
      </c>
      <c r="N40" s="26">
        <f>D40/E40</f>
        <v>7.1111111111111107</v>
      </c>
      <c r="O40" s="25">
        <v>0.4</v>
      </c>
      <c r="P40" s="25">
        <v>1.6</v>
      </c>
      <c r="Q40" s="25">
        <f>512</f>
        <v>512</v>
      </c>
      <c r="R40" s="25">
        <v>2</v>
      </c>
      <c r="S40" s="15">
        <f>R40*Q40</f>
        <v>1024</v>
      </c>
      <c r="U40" s="15">
        <f t="shared" ref="U40:U41" si="10">IF(T40,Q40*2,0)</f>
        <v>0</v>
      </c>
      <c r="V40" s="15">
        <f>F40/D40</f>
        <v>12.8</v>
      </c>
      <c r="W40" s="15">
        <f>G40/N40</f>
        <v>92.160000000000025</v>
      </c>
      <c r="Y40" s="27">
        <f>L40^2*SQRT(3)/2</f>
        <v>541.26587736527415</v>
      </c>
      <c r="Z40" s="27">
        <f>M40^2/4*3.14</f>
        <v>153.86000000000001</v>
      </c>
      <c r="AA40" s="27">
        <f>Y40-Z40</f>
        <v>387.40587736527414</v>
      </c>
      <c r="AB40" s="28">
        <f>I40/K40*Z40*10^-6</f>
        <v>5.4158720000000009E-5</v>
      </c>
      <c r="AC40" s="28">
        <f>J40/K40*AA40*10^-6</f>
        <v>8.5229293020360302E-6</v>
      </c>
      <c r="AD40" s="28">
        <f>AB40+AC40</f>
        <v>6.2681649302036039E-5</v>
      </c>
      <c r="AE40" s="16">
        <f>1/AD40*Y40*10^-6</f>
        <v>8.635156914221346</v>
      </c>
      <c r="AF40" s="29">
        <f>Y40*10^-6*(S40+U40)</f>
        <v>0.55425625842204074</v>
      </c>
      <c r="AG40" s="26">
        <f>AE40/AF40</f>
        <v>15.579719277876102</v>
      </c>
      <c r="AH40" s="26"/>
      <c r="AI40" s="18">
        <f>(N40-AF40)*H40</f>
        <v>6.5568548526890702E-7</v>
      </c>
      <c r="AJ40" s="18">
        <f>AE40/AI40</f>
        <v>13169663.059843289</v>
      </c>
      <c r="AK40" s="18"/>
      <c r="AL40" s="16">
        <f>$K40/J40</f>
        <v>45.454545454545453</v>
      </c>
      <c r="AM40" s="16">
        <f>N40-AF40-AI40</f>
        <v>6.5568541970035845</v>
      </c>
      <c r="AN40" s="26">
        <f>AL40/AM40</f>
        <v>6.9323709341161983</v>
      </c>
      <c r="AO40" s="26"/>
      <c r="AP40" s="16">
        <f>1/(1/AG40+1/AJ40+1/AN40)</f>
        <v>4.7976155355340406</v>
      </c>
      <c r="AQ40" s="16">
        <f>AP40*N40</f>
        <v>34.116377141575398</v>
      </c>
      <c r="AS40" s="24"/>
    </row>
    <row r="41" spans="1:45" x14ac:dyDescent="0.2">
      <c r="A41" s="34"/>
      <c r="B41" s="16">
        <f>AP41*G41*10^-3</f>
        <v>0.79581612065344709</v>
      </c>
      <c r="C41" s="17">
        <f>B41/B17</f>
        <v>0.50000000315676607</v>
      </c>
      <c r="D41" s="25">
        <v>16</v>
      </c>
      <c r="E41" s="25">
        <v>2.25</v>
      </c>
      <c r="F41" s="15">
        <f>P41*S41/8</f>
        <v>204.8</v>
      </c>
      <c r="G41" s="15">
        <f>F41*O41*8</f>
        <v>655.36000000000013</v>
      </c>
      <c r="H41" s="17">
        <v>0.99999990000000005</v>
      </c>
      <c r="I41" s="25">
        <v>8.8000000000000007</v>
      </c>
      <c r="J41" s="25">
        <v>0.55000000000000004</v>
      </c>
      <c r="K41" s="15">
        <v>25</v>
      </c>
      <c r="L41" s="15">
        <v>25</v>
      </c>
      <c r="M41" s="25">
        <v>14</v>
      </c>
      <c r="N41" s="26">
        <f>D41/E41</f>
        <v>7.1111111111111107</v>
      </c>
      <c r="O41" s="25">
        <v>0.4</v>
      </c>
      <c r="P41" s="25">
        <v>1.6</v>
      </c>
      <c r="Q41" s="25">
        <f>512</f>
        <v>512</v>
      </c>
      <c r="R41" s="25">
        <v>2</v>
      </c>
      <c r="S41" s="15">
        <f>R41*Q41</f>
        <v>1024</v>
      </c>
      <c r="U41" s="15">
        <f t="shared" si="10"/>
        <v>0</v>
      </c>
      <c r="V41" s="15">
        <f>F41/D41</f>
        <v>12.8</v>
      </c>
      <c r="W41" s="15">
        <f>G41/N41</f>
        <v>92.160000000000025</v>
      </c>
      <c r="Y41" s="27">
        <f>L41^2*SQRT(3)/2</f>
        <v>541.26587736527415</v>
      </c>
      <c r="Z41" s="27">
        <f>M41^2/4*3.14</f>
        <v>153.86000000000001</v>
      </c>
      <c r="AA41" s="27">
        <f>Y41-Z41</f>
        <v>387.40587736527414</v>
      </c>
      <c r="AB41" s="28">
        <f>I41/K41*Z41*10^-6</f>
        <v>5.4158720000000009E-5</v>
      </c>
      <c r="AC41" s="28">
        <f>J41/K41*AA41*10^-6</f>
        <v>8.5229293020360302E-6</v>
      </c>
      <c r="AD41" s="28">
        <f>AB41+AC41</f>
        <v>6.2681649302036039E-5</v>
      </c>
      <c r="AE41" s="16">
        <f>1/AD41*Y41*10^-6</f>
        <v>8.635156914221346</v>
      </c>
      <c r="AF41" s="29">
        <f>Y41*10^-6*(S41+U41)</f>
        <v>0.55425625842204074</v>
      </c>
      <c r="AG41" s="26">
        <f>AE41/AF41</f>
        <v>15.579719277876102</v>
      </c>
      <c r="AH41" s="26"/>
      <c r="AI41" s="18">
        <f>(N41-AF41)*H41</f>
        <v>6.5568541970035854</v>
      </c>
      <c r="AJ41" s="18">
        <f>AE41/AI41</f>
        <v>1.3169664376809727</v>
      </c>
      <c r="AK41" s="18"/>
      <c r="AL41" s="16">
        <f>$K41/J41</f>
        <v>45.454545454545453</v>
      </c>
      <c r="AM41" s="16">
        <f>N41-AF41-AI41</f>
        <v>6.556854845740645E-7</v>
      </c>
      <c r="AN41" s="26">
        <f>AL41/AM41</f>
        <v>69323702.482254699</v>
      </c>
      <c r="AO41" s="26"/>
      <c r="AP41" s="16">
        <f>1/(1/AG41+1/AJ41+1/AN41)</f>
        <v>1.2143190317587997</v>
      </c>
      <c r="AQ41" s="16">
        <f>AP41*N41</f>
        <v>8.6351575591736864</v>
      </c>
      <c r="AS41" s="24"/>
    </row>
    <row r="42" spans="1:45" ht="5" customHeight="1" x14ac:dyDescent="0.2">
      <c r="A42" s="34"/>
      <c r="B42" s="30"/>
    </row>
    <row r="43" spans="1:45" x14ac:dyDescent="0.2">
      <c r="A43" s="34"/>
      <c r="B43" s="16">
        <f>AP43*G43*10^-3</f>
        <v>2.4820420719993637</v>
      </c>
      <c r="C43" s="17">
        <f>B43/B19</f>
        <v>0.59845523058828931</v>
      </c>
      <c r="D43" s="25">
        <v>16</v>
      </c>
      <c r="E43" s="25">
        <v>1.66</v>
      </c>
      <c r="F43" s="15">
        <f>P43*S43/8</f>
        <v>204.8</v>
      </c>
      <c r="G43" s="15">
        <f>F43*O43*8</f>
        <v>655.36000000000013</v>
      </c>
      <c r="H43" s="17">
        <v>9.9999999999999995E-8</v>
      </c>
      <c r="I43" s="25">
        <v>8.8000000000000007</v>
      </c>
      <c r="J43" s="25">
        <v>0.55000000000000004</v>
      </c>
      <c r="K43" s="15">
        <v>25</v>
      </c>
      <c r="L43" s="15">
        <v>25</v>
      </c>
      <c r="M43" s="25">
        <v>14</v>
      </c>
      <c r="N43" s="26">
        <f>D43/E43</f>
        <v>9.6385542168674707</v>
      </c>
      <c r="O43" s="25">
        <v>0.4</v>
      </c>
      <c r="P43" s="25">
        <v>1.6</v>
      </c>
      <c r="Q43" s="25">
        <f>512</f>
        <v>512</v>
      </c>
      <c r="R43" s="25">
        <v>2</v>
      </c>
      <c r="S43" s="15">
        <f>R43*Q43</f>
        <v>1024</v>
      </c>
      <c r="U43" s="15">
        <f t="shared" ref="U43:U44" si="11">IF(T43,Q43*2,0)</f>
        <v>0</v>
      </c>
      <c r="V43" s="15">
        <f>F43/D43</f>
        <v>12.8</v>
      </c>
      <c r="W43" s="15">
        <f>G43/N43</f>
        <v>67.993600000000001</v>
      </c>
      <c r="Y43" s="27">
        <f>L43^2*SQRT(3)/2</f>
        <v>541.26587736527415</v>
      </c>
      <c r="Z43" s="27">
        <f>M43^2/4*3.14</f>
        <v>153.86000000000001</v>
      </c>
      <c r="AA43" s="27">
        <f>Y43-Z43</f>
        <v>387.40587736527414</v>
      </c>
      <c r="AB43" s="28">
        <f>I43/K43*Z43*10^-6</f>
        <v>5.4158720000000009E-5</v>
      </c>
      <c r="AC43" s="28">
        <f>J43/K43*AA43*10^-6</f>
        <v>8.5229293020360302E-6</v>
      </c>
      <c r="AD43" s="28">
        <f>AB43+AC43</f>
        <v>6.2681649302036039E-5</v>
      </c>
      <c r="AE43" s="16">
        <f>1/AD43*Y43*10^-6</f>
        <v>8.635156914221346</v>
      </c>
      <c r="AF43" s="29">
        <f>Y43*10^-6*(S43+U43)</f>
        <v>0.55425625842204074</v>
      </c>
      <c r="AG43" s="26">
        <f>AE43/AF43</f>
        <v>15.579719277876102</v>
      </c>
      <c r="AH43" s="26"/>
      <c r="AI43" s="18">
        <f>(N43-AF43)*H43</f>
        <v>9.0842979584454282E-7</v>
      </c>
      <c r="AJ43" s="18">
        <f>AE43/AI43</f>
        <v>9505585.3008360118</v>
      </c>
      <c r="AK43" s="18"/>
      <c r="AL43" s="16">
        <f>$K43/J43</f>
        <v>45.454545454545453</v>
      </c>
      <c r="AM43" s="16">
        <f>N43-AF43-AI43</f>
        <v>9.0842970500156337</v>
      </c>
      <c r="AN43" s="26">
        <f>AL43/AM43</f>
        <v>5.0036392694212068</v>
      </c>
      <c r="AO43" s="26"/>
      <c r="AP43" s="16">
        <f>1/(1/AG43+1/AJ43+1/AN43)</f>
        <v>3.7872956420888721</v>
      </c>
      <c r="AQ43" s="16">
        <f>AP43*N43</f>
        <v>36.504054381579493</v>
      </c>
      <c r="AS43" s="24"/>
    </row>
    <row r="44" spans="1:45" x14ac:dyDescent="0.2">
      <c r="A44" s="34"/>
      <c r="B44" s="16">
        <f>AP44*G44*10^-3</f>
        <v>0.58713544998746348</v>
      </c>
      <c r="C44" s="17">
        <f>B44/B20</f>
        <v>0.500000002328992</v>
      </c>
      <c r="D44" s="25">
        <v>16</v>
      </c>
      <c r="E44" s="25">
        <v>1.66</v>
      </c>
      <c r="F44" s="15">
        <f>P44*S44/8</f>
        <v>204.8</v>
      </c>
      <c r="G44" s="15">
        <f>F44*O44*8</f>
        <v>655.36000000000013</v>
      </c>
      <c r="H44" s="17">
        <v>0.99999990000000005</v>
      </c>
      <c r="I44" s="25">
        <v>8.8000000000000007</v>
      </c>
      <c r="J44" s="25">
        <v>0.55000000000000004</v>
      </c>
      <c r="K44" s="15">
        <v>25</v>
      </c>
      <c r="L44" s="15">
        <v>25</v>
      </c>
      <c r="M44" s="25">
        <v>14</v>
      </c>
      <c r="N44" s="26">
        <f>D44/E44</f>
        <v>9.6385542168674707</v>
      </c>
      <c r="O44" s="25">
        <v>0.4</v>
      </c>
      <c r="P44" s="25">
        <v>1.6</v>
      </c>
      <c r="Q44" s="25">
        <f>512</f>
        <v>512</v>
      </c>
      <c r="R44" s="25">
        <v>2</v>
      </c>
      <c r="S44" s="15">
        <f>R44*Q44</f>
        <v>1024</v>
      </c>
      <c r="U44" s="15">
        <f t="shared" si="11"/>
        <v>0</v>
      </c>
      <c r="V44" s="15">
        <f>F44/D44</f>
        <v>12.8</v>
      </c>
      <c r="W44" s="15">
        <f>G44/N44</f>
        <v>67.993600000000001</v>
      </c>
      <c r="Y44" s="27">
        <f>L44^2*SQRT(3)/2</f>
        <v>541.26587736527415</v>
      </c>
      <c r="Z44" s="27">
        <f>M44^2/4*3.14</f>
        <v>153.86000000000001</v>
      </c>
      <c r="AA44" s="27">
        <f>Y44-Z44</f>
        <v>387.40587736527414</v>
      </c>
      <c r="AB44" s="28">
        <f>I44/K44*Z44*10^-6</f>
        <v>5.4158720000000009E-5</v>
      </c>
      <c r="AC44" s="28">
        <f>J44/K44*AA44*10^-6</f>
        <v>8.5229293020360302E-6</v>
      </c>
      <c r="AD44" s="28">
        <f>AB44+AC44</f>
        <v>6.2681649302036039E-5</v>
      </c>
      <c r="AE44" s="16">
        <f>1/AD44*Y44*10^-6</f>
        <v>8.635156914221346</v>
      </c>
      <c r="AF44" s="29">
        <f>Y44*10^-6*(S44+U44)</f>
        <v>0.55425625842204074</v>
      </c>
      <c r="AG44" s="26">
        <f>AE44/AF44</f>
        <v>15.579719277876102</v>
      </c>
      <c r="AH44" s="26"/>
      <c r="AI44" s="18">
        <f>(N44-AF44)*H44</f>
        <v>9.0842970500156337</v>
      </c>
      <c r="AJ44" s="18">
        <f>AE44/AI44</f>
        <v>0.95055862513946365</v>
      </c>
      <c r="AK44" s="18"/>
      <c r="AL44" s="16">
        <f>$K44/J44</f>
        <v>45.454545454545453</v>
      </c>
      <c r="AM44" s="16">
        <f>N44-AF44-AI44</f>
        <v>9.0842979538763302E-7</v>
      </c>
      <c r="AN44" s="26">
        <f>AL44/AM44</f>
        <v>50036387.715739436</v>
      </c>
      <c r="AO44" s="26"/>
      <c r="AP44" s="16">
        <f>1/(1/AG44+1/AJ44+1/AN44)</f>
        <v>0.89589759824747217</v>
      </c>
      <c r="AQ44" s="16">
        <f>AP44*N44</f>
        <v>8.6351575734696127</v>
      </c>
      <c r="AS44" s="24"/>
    </row>
    <row r="48" spans="1:45" s="11" customFormat="1" ht="34" x14ac:dyDescent="0.2">
      <c r="B48" s="10" t="s">
        <v>77</v>
      </c>
      <c r="C48" s="10" t="s">
        <v>105</v>
      </c>
      <c r="D48" s="10" t="s">
        <v>60</v>
      </c>
      <c r="E48" s="10" t="s">
        <v>58</v>
      </c>
      <c r="F48" s="10"/>
      <c r="G48" s="10" t="s">
        <v>62</v>
      </c>
      <c r="H48" s="10" t="s">
        <v>81</v>
      </c>
      <c r="I48" s="15" t="s">
        <v>76</v>
      </c>
      <c r="J48" s="15" t="s">
        <v>83</v>
      </c>
      <c r="K48" s="15" t="s">
        <v>27</v>
      </c>
      <c r="L48" s="15" t="s">
        <v>82</v>
      </c>
      <c r="M48" s="10" t="s">
        <v>115</v>
      </c>
      <c r="N48" s="10" t="s">
        <v>59</v>
      </c>
      <c r="O48" s="10" t="s">
        <v>61</v>
      </c>
      <c r="P48" s="10" t="s">
        <v>94</v>
      </c>
      <c r="Q48" s="10" t="s">
        <v>50</v>
      </c>
      <c r="R48" s="10" t="s">
        <v>51</v>
      </c>
      <c r="S48" s="10" t="s">
        <v>52</v>
      </c>
      <c r="T48" s="10" t="s">
        <v>110</v>
      </c>
      <c r="U48" s="10" t="s">
        <v>53</v>
      </c>
      <c r="V48" s="10" t="s">
        <v>79</v>
      </c>
      <c r="W48" s="10" t="s">
        <v>70</v>
      </c>
      <c r="X48" s="10" t="s">
        <v>117</v>
      </c>
      <c r="Y48" s="10" t="s">
        <v>95</v>
      </c>
      <c r="Z48" s="15" t="s">
        <v>56</v>
      </c>
      <c r="AA48" s="15" t="s">
        <v>71</v>
      </c>
      <c r="AB48" s="15" t="s">
        <v>85</v>
      </c>
      <c r="AC48" s="15" t="s">
        <v>24</v>
      </c>
      <c r="AD48" s="15" t="s">
        <v>96</v>
      </c>
      <c r="AE48" s="10" t="s">
        <v>84</v>
      </c>
      <c r="AF48" s="10" t="s">
        <v>56</v>
      </c>
      <c r="AG48" s="10" t="s">
        <v>54</v>
      </c>
      <c r="AH48" s="10"/>
      <c r="AI48" s="10" t="s">
        <v>97</v>
      </c>
      <c r="AJ48" s="10" t="s">
        <v>86</v>
      </c>
      <c r="AK48" s="10"/>
      <c r="AL48" s="10" t="s">
        <v>72</v>
      </c>
      <c r="AM48" s="10" t="s">
        <v>71</v>
      </c>
      <c r="AN48" s="10" t="s">
        <v>55</v>
      </c>
      <c r="AO48" s="10"/>
      <c r="AP48" s="10" t="s">
        <v>69</v>
      </c>
      <c r="AQ48" s="10" t="s">
        <v>73</v>
      </c>
    </row>
    <row r="49" spans="1:45" ht="19" x14ac:dyDescent="0.2">
      <c r="B49" s="15" t="s">
        <v>78</v>
      </c>
      <c r="C49" s="15"/>
      <c r="D49" s="15" t="s">
        <v>89</v>
      </c>
      <c r="E49" s="15" t="s">
        <v>63</v>
      </c>
      <c r="F49" s="15" t="s">
        <v>87</v>
      </c>
      <c r="G49" s="15" t="s">
        <v>88</v>
      </c>
      <c r="H49" s="15" t="s">
        <v>18</v>
      </c>
      <c r="I49" s="15" t="s">
        <v>21</v>
      </c>
      <c r="J49" s="15" t="s">
        <v>21</v>
      </c>
      <c r="K49" s="15" t="s">
        <v>9</v>
      </c>
      <c r="L49" s="15" t="s">
        <v>9</v>
      </c>
      <c r="M49" s="15" t="s">
        <v>9</v>
      </c>
      <c r="N49" s="15" t="s">
        <v>64</v>
      </c>
      <c r="O49" s="15" t="s">
        <v>65</v>
      </c>
      <c r="P49" s="15" t="s">
        <v>74</v>
      </c>
      <c r="Q49" s="15" t="s">
        <v>67</v>
      </c>
      <c r="R49" s="15" t="s">
        <v>66</v>
      </c>
      <c r="S49" s="15" t="s">
        <v>67</v>
      </c>
      <c r="U49" s="15" t="s">
        <v>67</v>
      </c>
      <c r="V49" s="15" t="s">
        <v>80</v>
      </c>
      <c r="W49" s="15" t="s">
        <v>75</v>
      </c>
      <c r="X49" s="15" t="s">
        <v>7</v>
      </c>
      <c r="Y49" s="15" t="s">
        <v>10</v>
      </c>
      <c r="Z49" s="15" t="s">
        <v>10</v>
      </c>
      <c r="AA49" s="15" t="s">
        <v>10</v>
      </c>
      <c r="AB49" s="15" t="s">
        <v>12</v>
      </c>
      <c r="AC49" s="15" t="s">
        <v>12</v>
      </c>
      <c r="AD49" s="15" t="s">
        <v>12</v>
      </c>
      <c r="AE49" s="15" t="s">
        <v>7</v>
      </c>
      <c r="AF49" s="15" t="s">
        <v>68</v>
      </c>
      <c r="AG49" s="15" t="s">
        <v>11</v>
      </c>
      <c r="AI49" s="15" t="s">
        <v>68</v>
      </c>
      <c r="AJ49" s="15" t="s">
        <v>11</v>
      </c>
      <c r="AL49" s="15" t="s">
        <v>7</v>
      </c>
      <c r="AM49" s="15" t="s">
        <v>68</v>
      </c>
      <c r="AN49" s="15" t="s">
        <v>11</v>
      </c>
      <c r="AO49" s="15"/>
      <c r="AP49" s="15" t="s">
        <v>11</v>
      </c>
      <c r="AQ49" s="15" t="s">
        <v>7</v>
      </c>
    </row>
    <row r="50" spans="1:45" ht="17" x14ac:dyDescent="0.2">
      <c r="A50" s="11" t="s">
        <v>107</v>
      </c>
      <c r="B50" s="16">
        <f t="shared" ref="B50:B61" si="12">AP50*G50*10^-3</f>
        <v>2.9272040308505489</v>
      </c>
      <c r="C50" s="24"/>
      <c r="D50" s="15">
        <v>8</v>
      </c>
      <c r="E50" s="15">
        <v>2.25</v>
      </c>
      <c r="F50" s="15">
        <f t="shared" ref="F50:F61" si="13">P50*S50/8</f>
        <v>204.8</v>
      </c>
      <c r="G50" s="15">
        <f t="shared" ref="G50:G61" si="14">F50*O50*8</f>
        <v>327.68000000000006</v>
      </c>
      <c r="H50" s="21">
        <v>9.9999999999999995E-8</v>
      </c>
      <c r="I50" s="15">
        <v>8.8000000000000007</v>
      </c>
      <c r="J50" s="15">
        <v>0.55000000000000004</v>
      </c>
      <c r="K50" s="15">
        <v>26</v>
      </c>
      <c r="L50" s="15">
        <v>25</v>
      </c>
      <c r="M50" s="15">
        <v>12</v>
      </c>
      <c r="N50" s="26">
        <f t="shared" ref="N50:N61" si="15">D50/E50</f>
        <v>3.5555555555555554</v>
      </c>
      <c r="O50" s="25">
        <v>0.2</v>
      </c>
      <c r="P50" s="25">
        <v>1.6</v>
      </c>
      <c r="Q50" s="25">
        <f>512</f>
        <v>512</v>
      </c>
      <c r="R50" s="25">
        <v>2</v>
      </c>
      <c r="S50" s="15">
        <f t="shared" ref="S50:S61" si="16">R50*Q50</f>
        <v>1024</v>
      </c>
      <c r="T50" s="15" t="b">
        <v>0</v>
      </c>
      <c r="U50" s="15">
        <f t="shared" ref="U50:U61" si="17">IF(T50,Q50*2,0)</f>
        <v>0</v>
      </c>
      <c r="V50" s="15">
        <f t="shared" ref="V50:V61" si="18">F50/D50</f>
        <v>25.6</v>
      </c>
      <c r="W50" s="15">
        <f t="shared" ref="W50:W61" si="19">G50/N50</f>
        <v>92.160000000000025</v>
      </c>
      <c r="X50" s="27">
        <f t="shared" ref="X50:X61" si="20">B50/W50*10^3</f>
        <v>31.76219651530543</v>
      </c>
      <c r="Y50" s="27">
        <f t="shared" ref="Y50:Y61" si="21">L50^2*SQRT(3)/2</f>
        <v>541.26587736527415</v>
      </c>
      <c r="Z50" s="27">
        <f t="shared" ref="Z50:Z61" si="22">M50^2/4*3.14</f>
        <v>113.04</v>
      </c>
      <c r="AA50" s="27">
        <f t="shared" ref="AA50:AA61" si="23">Y50-Z50</f>
        <v>428.22587736527413</v>
      </c>
      <c r="AB50" s="28">
        <f t="shared" ref="AB50:AB61" si="24">I50/K50*Z50*10^-6</f>
        <v>3.8259692307692308E-5</v>
      </c>
      <c r="AC50" s="28">
        <f t="shared" ref="AC50:AC61" si="25">J50/K50*AA50*10^-6</f>
        <v>9.0586243288808E-6</v>
      </c>
      <c r="AD50" s="28">
        <f t="shared" ref="AD50:AD61" si="26">AB50+AC50</f>
        <v>4.7318316636573105E-5</v>
      </c>
      <c r="AE50" s="16">
        <f t="shared" ref="AE50:AE61" si="27">1/AD50*Y50*10^-6</f>
        <v>11.4388236065634</v>
      </c>
      <c r="AF50" s="29">
        <f t="shared" ref="AF50:AF61" si="28">Y50*10^-6*(S50+U50)</f>
        <v>0.55425625842204074</v>
      </c>
      <c r="AG50" s="26">
        <f t="shared" ref="AG50:AG61" si="29">AE50/AF50</f>
        <v>20.638149651443825</v>
      </c>
      <c r="AH50" s="26"/>
      <c r="AI50" s="18">
        <f t="shared" ref="AI50:AI61" si="30">(N50-AF50)*H50</f>
        <v>3.0012992971335144E-7</v>
      </c>
      <c r="AJ50" s="18">
        <f t="shared" ref="AJ50:AJ61" si="31">AE50/AI50</f>
        <v>38112905.358983725</v>
      </c>
      <c r="AK50" s="18"/>
      <c r="AL50" s="16">
        <f t="shared" ref="AL50:AL61" si="32">$K50/J50</f>
        <v>47.272727272727266</v>
      </c>
      <c r="AM50" s="16">
        <f t="shared" ref="AM50:AM61" si="33">N50-AF50-AI50</f>
        <v>3.0012989970035848</v>
      </c>
      <c r="AN50" s="26">
        <f t="shared" ref="AN50:AN61" si="34">AL50/AM50</f>
        <v>15.750755696091282</v>
      </c>
      <c r="AO50" s="26"/>
      <c r="AP50" s="16">
        <f t="shared" ref="AP50:AP61" si="35">1/(1/AG50+1/AJ50+1/AN50)</f>
        <v>8.9331177699296518</v>
      </c>
      <c r="AQ50" s="16">
        <f t="shared" ref="AQ50:AQ61" si="36">AP50*N50</f>
        <v>31.762196515305426</v>
      </c>
      <c r="AS50" s="24"/>
    </row>
    <row r="51" spans="1:45" ht="17" x14ac:dyDescent="0.2">
      <c r="A51" s="19" t="s">
        <v>106</v>
      </c>
      <c r="B51" s="16">
        <f t="shared" si="12"/>
        <v>2.5164608707823204</v>
      </c>
      <c r="C51" s="17">
        <f t="shared" ref="C51:C61" si="37">B51/B$50-1</f>
        <v>-0.14031927933253086</v>
      </c>
      <c r="D51" s="15">
        <v>8</v>
      </c>
      <c r="E51" s="15">
        <v>2.25</v>
      </c>
      <c r="F51" s="15">
        <f t="shared" si="13"/>
        <v>204.8</v>
      </c>
      <c r="G51" s="15">
        <f t="shared" si="14"/>
        <v>327.68000000000006</v>
      </c>
      <c r="H51" s="21">
        <v>9.9999999999999995E-8</v>
      </c>
      <c r="I51" s="15">
        <v>8.8000000000000007</v>
      </c>
      <c r="J51" s="15">
        <v>0.55000000000000004</v>
      </c>
      <c r="K51" s="25">
        <v>25</v>
      </c>
      <c r="L51" s="15">
        <v>25</v>
      </c>
      <c r="M51" s="25">
        <v>14</v>
      </c>
      <c r="N51" s="26">
        <f t="shared" si="15"/>
        <v>3.5555555555555554</v>
      </c>
      <c r="O51" s="25">
        <f>O$50</f>
        <v>0.2</v>
      </c>
      <c r="P51" s="25">
        <v>1.6</v>
      </c>
      <c r="Q51" s="25">
        <f>512</f>
        <v>512</v>
      </c>
      <c r="R51" s="25">
        <v>2</v>
      </c>
      <c r="S51" s="15">
        <f t="shared" si="16"/>
        <v>1024</v>
      </c>
      <c r="T51" s="15" t="b">
        <v>0</v>
      </c>
      <c r="U51" s="15">
        <f t="shared" si="17"/>
        <v>0</v>
      </c>
      <c r="V51" s="15">
        <f t="shared" si="18"/>
        <v>25.6</v>
      </c>
      <c r="W51" s="15">
        <f t="shared" si="19"/>
        <v>92.160000000000025</v>
      </c>
      <c r="X51" s="27">
        <f t="shared" si="20"/>
        <v>27.305347990259545</v>
      </c>
      <c r="Y51" s="27">
        <f t="shared" si="21"/>
        <v>541.26587736527415</v>
      </c>
      <c r="Z51" s="27">
        <f t="shared" si="22"/>
        <v>153.86000000000001</v>
      </c>
      <c r="AA51" s="27">
        <f t="shared" si="23"/>
        <v>387.40587736527414</v>
      </c>
      <c r="AB51" s="28">
        <f t="shared" si="24"/>
        <v>5.4158720000000009E-5</v>
      </c>
      <c r="AC51" s="28">
        <f t="shared" si="25"/>
        <v>8.5229293020360302E-6</v>
      </c>
      <c r="AD51" s="28">
        <f t="shared" si="26"/>
        <v>6.2681649302036039E-5</v>
      </c>
      <c r="AE51" s="16">
        <f t="shared" si="27"/>
        <v>8.635156914221346</v>
      </c>
      <c r="AF51" s="29">
        <f t="shared" si="28"/>
        <v>0.55425625842204074</v>
      </c>
      <c r="AG51" s="26">
        <f t="shared" si="29"/>
        <v>15.579719277876102</v>
      </c>
      <c r="AH51" s="26"/>
      <c r="AI51" s="18">
        <f t="shared" si="30"/>
        <v>3.0012992971335144E-7</v>
      </c>
      <c r="AJ51" s="18">
        <f t="shared" si="31"/>
        <v>28771395.516830411</v>
      </c>
      <c r="AK51" s="18"/>
      <c r="AL51" s="16">
        <f t="shared" si="32"/>
        <v>45.454545454545453</v>
      </c>
      <c r="AM51" s="16">
        <f t="shared" si="33"/>
        <v>3.0012989970035848</v>
      </c>
      <c r="AN51" s="26">
        <f t="shared" si="34"/>
        <v>15.144957400087772</v>
      </c>
      <c r="AO51" s="26"/>
      <c r="AP51" s="16">
        <f t="shared" si="35"/>
        <v>7.679629122260498</v>
      </c>
      <c r="AQ51" s="16">
        <f t="shared" si="36"/>
        <v>27.305347990259548</v>
      </c>
      <c r="AS51" s="24"/>
    </row>
    <row r="52" spans="1:45" ht="19" x14ac:dyDescent="0.2">
      <c r="A52" s="19" t="s">
        <v>108</v>
      </c>
      <c r="B52" s="16">
        <f t="shared" si="12"/>
        <v>1.774042843011604</v>
      </c>
      <c r="C52" s="17">
        <f t="shared" si="37"/>
        <v>-0.39394629676834458</v>
      </c>
      <c r="D52" s="15">
        <v>8</v>
      </c>
      <c r="E52" s="15">
        <v>2.25</v>
      </c>
      <c r="F52" s="15">
        <f t="shared" si="13"/>
        <v>204.8</v>
      </c>
      <c r="G52" s="15">
        <f t="shared" si="14"/>
        <v>327.68000000000006</v>
      </c>
      <c r="H52" s="21">
        <v>9.9999999999999995E-8</v>
      </c>
      <c r="I52" s="15">
        <v>8.8000000000000007</v>
      </c>
      <c r="J52" s="25">
        <v>1.1000000000000001</v>
      </c>
      <c r="K52" s="15">
        <v>26</v>
      </c>
      <c r="L52" s="15">
        <v>25</v>
      </c>
      <c r="M52" s="15">
        <v>12</v>
      </c>
      <c r="N52" s="26">
        <f t="shared" si="15"/>
        <v>3.5555555555555554</v>
      </c>
      <c r="O52" s="25">
        <f t="shared" ref="O52:O61" si="38">O$50</f>
        <v>0.2</v>
      </c>
      <c r="P52" s="25">
        <v>1.6</v>
      </c>
      <c r="Q52" s="25">
        <f>512</f>
        <v>512</v>
      </c>
      <c r="R52" s="25">
        <v>2</v>
      </c>
      <c r="S52" s="15">
        <f t="shared" si="16"/>
        <v>1024</v>
      </c>
      <c r="T52" s="15" t="b">
        <v>0</v>
      </c>
      <c r="U52" s="15">
        <f t="shared" si="17"/>
        <v>0</v>
      </c>
      <c r="V52" s="15">
        <f t="shared" si="18"/>
        <v>25.6</v>
      </c>
      <c r="W52" s="15">
        <f t="shared" si="19"/>
        <v>92.160000000000025</v>
      </c>
      <c r="X52" s="27">
        <f t="shared" si="20"/>
        <v>19.249596820872434</v>
      </c>
      <c r="Y52" s="27">
        <f t="shared" si="21"/>
        <v>541.26587736527415</v>
      </c>
      <c r="Z52" s="27">
        <f t="shared" si="22"/>
        <v>113.04</v>
      </c>
      <c r="AA52" s="27">
        <f t="shared" si="23"/>
        <v>428.22587736527413</v>
      </c>
      <c r="AB52" s="28">
        <f t="shared" si="24"/>
        <v>3.8259692307692308E-5</v>
      </c>
      <c r="AC52" s="28">
        <f t="shared" si="25"/>
        <v>1.81172486577616E-5</v>
      </c>
      <c r="AD52" s="28">
        <f t="shared" si="26"/>
        <v>5.6376940965453908E-5</v>
      </c>
      <c r="AE52" s="16">
        <f t="shared" si="27"/>
        <v>9.6008380039091801</v>
      </c>
      <c r="AF52" s="29">
        <f t="shared" si="28"/>
        <v>0.55425625842204074</v>
      </c>
      <c r="AG52" s="26">
        <f t="shared" si="29"/>
        <v>17.322020018759233</v>
      </c>
      <c r="AH52" s="26"/>
      <c r="AI52" s="18">
        <f t="shared" si="30"/>
        <v>3.0012992971335144E-7</v>
      </c>
      <c r="AJ52" s="18">
        <f t="shared" si="31"/>
        <v>31988938.967462402</v>
      </c>
      <c r="AK52" s="18"/>
      <c r="AL52" s="16">
        <f t="shared" si="32"/>
        <v>23.636363636363633</v>
      </c>
      <c r="AM52" s="16">
        <f t="shared" si="33"/>
        <v>3.0012989970035848</v>
      </c>
      <c r="AN52" s="26">
        <f t="shared" si="34"/>
        <v>7.8753778480456411</v>
      </c>
      <c r="AO52" s="26"/>
      <c r="AP52" s="16">
        <f t="shared" si="35"/>
        <v>5.4139491058703726</v>
      </c>
      <c r="AQ52" s="16">
        <f t="shared" si="36"/>
        <v>19.249596820872434</v>
      </c>
      <c r="AS52" s="24"/>
    </row>
    <row r="53" spans="1:45" ht="17" x14ac:dyDescent="0.2">
      <c r="A53" s="19" t="s">
        <v>111</v>
      </c>
      <c r="B53" s="16">
        <f t="shared" si="12"/>
        <v>2.2040420343557945</v>
      </c>
      <c r="C53" s="17">
        <f t="shared" si="37"/>
        <v>-0.24704871572776133</v>
      </c>
      <c r="D53" s="15">
        <v>8</v>
      </c>
      <c r="E53" s="15">
        <v>2.25</v>
      </c>
      <c r="F53" s="15">
        <f>P53*S53/8</f>
        <v>204.8</v>
      </c>
      <c r="G53" s="15">
        <f t="shared" si="14"/>
        <v>327.68000000000006</v>
      </c>
      <c r="H53" s="21">
        <v>9.9999999999999995E-8</v>
      </c>
      <c r="I53" s="15">
        <v>8.8000000000000007</v>
      </c>
      <c r="J53" s="15">
        <v>0.55000000000000004</v>
      </c>
      <c r="K53" s="15">
        <v>26</v>
      </c>
      <c r="L53" s="15">
        <v>25</v>
      </c>
      <c r="M53" s="15">
        <v>12</v>
      </c>
      <c r="N53" s="26">
        <f t="shared" si="15"/>
        <v>3.5555555555555554</v>
      </c>
      <c r="O53" s="25">
        <f t="shared" si="38"/>
        <v>0.2</v>
      </c>
      <c r="P53" s="25">
        <v>1.6</v>
      </c>
      <c r="Q53" s="25">
        <f>512</f>
        <v>512</v>
      </c>
      <c r="R53" s="25">
        <v>2</v>
      </c>
      <c r="S53" s="15">
        <f>R53*Q53</f>
        <v>1024</v>
      </c>
      <c r="T53" s="15" t="b">
        <v>1</v>
      </c>
      <c r="U53" s="15">
        <f t="shared" si="17"/>
        <v>1024</v>
      </c>
      <c r="V53" s="15">
        <f t="shared" si="18"/>
        <v>25.6</v>
      </c>
      <c r="W53" s="15">
        <f t="shared" si="19"/>
        <v>92.160000000000025</v>
      </c>
      <c r="X53" s="27">
        <f t="shared" si="20"/>
        <v>23.915386657506446</v>
      </c>
      <c r="Y53" s="27">
        <f t="shared" si="21"/>
        <v>541.26587736527415</v>
      </c>
      <c r="Z53" s="27">
        <f t="shared" si="22"/>
        <v>113.04</v>
      </c>
      <c r="AA53" s="27">
        <f>Y53-Z53</f>
        <v>428.22587736527413</v>
      </c>
      <c r="AB53" s="28">
        <f t="shared" si="24"/>
        <v>3.8259692307692308E-5</v>
      </c>
      <c r="AC53" s="28">
        <f t="shared" si="25"/>
        <v>9.0586243288808E-6</v>
      </c>
      <c r="AD53" s="28">
        <f>AB53+AC53</f>
        <v>4.7318316636573105E-5</v>
      </c>
      <c r="AE53" s="16">
        <f>1/AD53*Y53*10^-6</f>
        <v>11.4388236065634</v>
      </c>
      <c r="AF53" s="29">
        <f>Y53*10^-6*(S53+U53)</f>
        <v>1.1085125168440815</v>
      </c>
      <c r="AG53" s="26">
        <f>AE53/AF53</f>
        <v>10.319074825721913</v>
      </c>
      <c r="AH53" s="26"/>
      <c r="AI53" s="18">
        <f t="shared" si="30"/>
        <v>2.447043038711474E-7</v>
      </c>
      <c r="AJ53" s="18">
        <f>AE53/AI53</f>
        <v>46745494.156027094</v>
      </c>
      <c r="AK53" s="18"/>
      <c r="AL53" s="16">
        <f t="shared" si="32"/>
        <v>47.272727272727266</v>
      </c>
      <c r="AM53" s="16">
        <f>N53-AF53-AI53</f>
        <v>2.44704279400717</v>
      </c>
      <c r="AN53" s="26">
        <f>AL53/AM53</f>
        <v>19.318308363261405</v>
      </c>
      <c r="AO53" s="26"/>
      <c r="AP53" s="16">
        <f>1/(1/AG53+1/AJ53+1/AN53)</f>
        <v>6.7262024974236869</v>
      </c>
      <c r="AQ53" s="16">
        <f>AP53*N53</f>
        <v>23.915386657506442</v>
      </c>
      <c r="AS53" s="24"/>
    </row>
    <row r="54" spans="1:45" x14ac:dyDescent="0.2">
      <c r="A54" s="23" t="s">
        <v>112</v>
      </c>
      <c r="B54" s="16">
        <f t="shared" si="12"/>
        <v>1.0542020510351082</v>
      </c>
      <c r="C54" s="17">
        <f t="shared" si="37"/>
        <v>-0.63986041289756224</v>
      </c>
      <c r="D54" s="15">
        <v>8</v>
      </c>
      <c r="E54" s="15">
        <v>2.25</v>
      </c>
      <c r="F54" s="15">
        <f t="shared" si="13"/>
        <v>204.8</v>
      </c>
      <c r="G54" s="15">
        <f t="shared" si="14"/>
        <v>327.68000000000006</v>
      </c>
      <c r="H54" s="22">
        <v>0.99999990000000005</v>
      </c>
      <c r="I54" s="15">
        <v>8.8000000000000007</v>
      </c>
      <c r="J54" s="15">
        <v>0.55000000000000004</v>
      </c>
      <c r="K54" s="15">
        <v>26</v>
      </c>
      <c r="L54" s="15">
        <v>25</v>
      </c>
      <c r="M54" s="15">
        <v>12</v>
      </c>
      <c r="N54" s="26">
        <f t="shared" si="15"/>
        <v>3.5555555555555554</v>
      </c>
      <c r="O54" s="25">
        <f t="shared" si="38"/>
        <v>0.2</v>
      </c>
      <c r="P54" s="25">
        <v>1.6</v>
      </c>
      <c r="Q54" s="25">
        <f>512</f>
        <v>512</v>
      </c>
      <c r="R54" s="25">
        <v>2</v>
      </c>
      <c r="S54" s="15">
        <f t="shared" si="16"/>
        <v>1024</v>
      </c>
      <c r="T54" s="15" t="b">
        <v>0</v>
      </c>
      <c r="U54" s="15">
        <f t="shared" si="17"/>
        <v>0</v>
      </c>
      <c r="V54" s="15">
        <f t="shared" si="18"/>
        <v>25.6</v>
      </c>
      <c r="W54" s="15">
        <f t="shared" si="19"/>
        <v>92.160000000000025</v>
      </c>
      <c r="X54" s="27">
        <f t="shared" si="20"/>
        <v>11.438824338488585</v>
      </c>
      <c r="Y54" s="27">
        <f t="shared" si="21"/>
        <v>541.26587736527415</v>
      </c>
      <c r="Z54" s="27">
        <f t="shared" si="22"/>
        <v>113.04</v>
      </c>
      <c r="AA54" s="27">
        <f t="shared" si="23"/>
        <v>428.22587736527413</v>
      </c>
      <c r="AB54" s="28">
        <f t="shared" si="24"/>
        <v>3.8259692307692308E-5</v>
      </c>
      <c r="AC54" s="28">
        <f t="shared" si="25"/>
        <v>9.0586243288808E-6</v>
      </c>
      <c r="AD54" s="28">
        <f t="shared" si="26"/>
        <v>4.7318316636573105E-5</v>
      </c>
      <c r="AE54" s="16">
        <f t="shared" si="27"/>
        <v>11.4388236065634</v>
      </c>
      <c r="AF54" s="29">
        <f t="shared" si="28"/>
        <v>0.55425625842204074</v>
      </c>
      <c r="AG54" s="26">
        <f t="shared" si="29"/>
        <v>20.638149651443825</v>
      </c>
      <c r="AH54" s="26"/>
      <c r="AI54" s="18">
        <f t="shared" si="30"/>
        <v>3.0012989970035853</v>
      </c>
      <c r="AJ54" s="18">
        <f t="shared" si="31"/>
        <v>3.8112909170274629</v>
      </c>
      <c r="AK54" s="18"/>
      <c r="AL54" s="16">
        <f t="shared" si="32"/>
        <v>47.272727272727266</v>
      </c>
      <c r="AM54" s="16">
        <f t="shared" si="33"/>
        <v>3.0012992935368743E-7</v>
      </c>
      <c r="AN54" s="26">
        <f t="shared" si="34"/>
        <v>157507541.39890802</v>
      </c>
      <c r="AO54" s="26"/>
      <c r="AP54" s="16">
        <f t="shared" si="35"/>
        <v>3.2171693451999146</v>
      </c>
      <c r="AQ54" s="16">
        <f t="shared" si="36"/>
        <v>11.438824338488585</v>
      </c>
      <c r="AS54" s="24"/>
    </row>
    <row r="55" spans="1:45" ht="17" x14ac:dyDescent="0.2">
      <c r="A55" s="19" t="s">
        <v>116</v>
      </c>
      <c r="B55" s="16">
        <f t="shared" si="12"/>
        <v>0.70055980276485996</v>
      </c>
      <c r="C55" s="17">
        <f t="shared" si="37"/>
        <v>-0.7606727117817953</v>
      </c>
      <c r="D55" s="15">
        <v>8</v>
      </c>
      <c r="E55" s="15">
        <v>2.25</v>
      </c>
      <c r="F55" s="15">
        <f t="shared" ref="F55" si="39">P55*S55/8</f>
        <v>204.8</v>
      </c>
      <c r="G55" s="15">
        <f t="shared" si="14"/>
        <v>327.68000000000006</v>
      </c>
      <c r="H55" s="21">
        <v>0.99999990000000005</v>
      </c>
      <c r="I55" s="15">
        <v>8.8000000000000007</v>
      </c>
      <c r="J55" s="25">
        <v>1.1000000000000001</v>
      </c>
      <c r="K55" s="25">
        <v>25</v>
      </c>
      <c r="L55" s="15">
        <v>25</v>
      </c>
      <c r="M55" s="25">
        <v>14</v>
      </c>
      <c r="N55" s="26">
        <f t="shared" si="15"/>
        <v>3.5555555555555554</v>
      </c>
      <c r="O55" s="25">
        <f>O$50</f>
        <v>0.2</v>
      </c>
      <c r="P55" s="25">
        <v>1.6</v>
      </c>
      <c r="Q55" s="25">
        <f>512</f>
        <v>512</v>
      </c>
      <c r="R55" s="25">
        <v>2</v>
      </c>
      <c r="S55" s="15">
        <f t="shared" ref="S55" si="40">R55*Q55</f>
        <v>1024</v>
      </c>
      <c r="T55" s="15" t="b">
        <v>1</v>
      </c>
      <c r="U55" s="15">
        <f t="shared" si="17"/>
        <v>1024</v>
      </c>
      <c r="V55" s="15">
        <f t="shared" si="18"/>
        <v>25.6</v>
      </c>
      <c r="W55" s="15">
        <f t="shared" si="19"/>
        <v>92.160000000000025</v>
      </c>
      <c r="X55" s="27">
        <f t="shared" si="20"/>
        <v>7.6015603598617592</v>
      </c>
      <c r="Y55" s="27">
        <f t="shared" si="21"/>
        <v>541.26587736527415</v>
      </c>
      <c r="Z55" s="27">
        <f t="shared" si="22"/>
        <v>153.86000000000001</v>
      </c>
      <c r="AA55" s="27">
        <f t="shared" ref="AA55" si="41">Y55-Z55</f>
        <v>387.40587736527414</v>
      </c>
      <c r="AB55" s="28">
        <f t="shared" si="24"/>
        <v>5.4158720000000009E-5</v>
      </c>
      <c r="AC55" s="28">
        <f t="shared" si="25"/>
        <v>1.704585860407206E-5</v>
      </c>
      <c r="AD55" s="28">
        <f t="shared" ref="AD55" si="42">AB55+AC55</f>
        <v>7.1204578604072076E-5</v>
      </c>
      <c r="AE55" s="16">
        <f t="shared" ref="AE55" si="43">1/AD55*Y55*10^-6</f>
        <v>7.6015600116804842</v>
      </c>
      <c r="AF55" s="29">
        <f t="shared" ref="AF55" si="44">Y55*10^-6*(S55+U55)</f>
        <v>1.1085125168440815</v>
      </c>
      <c r="AG55" s="26">
        <f t="shared" ref="AG55" si="45">AE55/AF55</f>
        <v>6.8574417484450345</v>
      </c>
      <c r="AH55" s="26"/>
      <c r="AI55" s="18">
        <f t="shared" si="30"/>
        <v>2.44704279400717</v>
      </c>
      <c r="AJ55" s="18">
        <f t="shared" ref="AJ55" si="46">AE55/AI55</f>
        <v>3.1064270842736277</v>
      </c>
      <c r="AK55" s="18"/>
      <c r="AL55" s="16">
        <f t="shared" si="32"/>
        <v>22.727272727272727</v>
      </c>
      <c r="AM55" s="16">
        <f t="shared" ref="AM55" si="47">N55-AF55-AI55</f>
        <v>2.44704303931087E-7</v>
      </c>
      <c r="AN55" s="26">
        <f t="shared" ref="AN55" si="48">AL55/AM55</f>
        <v>92876473.205281764</v>
      </c>
      <c r="AO55" s="26"/>
      <c r="AP55" s="16">
        <f t="shared" ref="AP55" si="49">1/(1/AG55+1/AJ55+1/AN55)</f>
        <v>2.1379388512111199</v>
      </c>
      <c r="AQ55" s="16">
        <f t="shared" ref="AQ55" si="50">AP55*N55</f>
        <v>7.6015603598617592</v>
      </c>
      <c r="AS55" s="24"/>
    </row>
    <row r="56" spans="1:45" x14ac:dyDescent="0.2">
      <c r="A56" s="23" t="s">
        <v>113</v>
      </c>
      <c r="B56" s="16">
        <f t="shared" si="12"/>
        <v>2.3629250471498207</v>
      </c>
      <c r="C56" s="17">
        <f t="shared" si="37"/>
        <v>-0.19277063633202485</v>
      </c>
      <c r="D56" s="15">
        <v>8</v>
      </c>
      <c r="E56" s="31">
        <v>1.66</v>
      </c>
      <c r="F56" s="15">
        <f t="shared" si="13"/>
        <v>204.8</v>
      </c>
      <c r="G56" s="15">
        <f t="shared" si="14"/>
        <v>327.68000000000006</v>
      </c>
      <c r="H56" s="21">
        <v>9.9999999999999995E-8</v>
      </c>
      <c r="I56" s="15">
        <v>8.8000000000000007</v>
      </c>
      <c r="J56" s="15">
        <v>0.55000000000000004</v>
      </c>
      <c r="K56" s="15">
        <v>26</v>
      </c>
      <c r="L56" s="15">
        <v>25</v>
      </c>
      <c r="M56" s="15">
        <v>12</v>
      </c>
      <c r="N56" s="26">
        <f t="shared" si="15"/>
        <v>4.8192771084337354</v>
      </c>
      <c r="O56" s="25">
        <f t="shared" si="38"/>
        <v>0.2</v>
      </c>
      <c r="P56" s="25">
        <v>1.6</v>
      </c>
      <c r="Q56" s="25">
        <f>512</f>
        <v>512</v>
      </c>
      <c r="R56" s="25">
        <v>2</v>
      </c>
      <c r="S56" s="15">
        <f t="shared" si="16"/>
        <v>1024</v>
      </c>
      <c r="T56" s="15" t="b">
        <v>0</v>
      </c>
      <c r="U56" s="15">
        <f t="shared" si="17"/>
        <v>0</v>
      </c>
      <c r="V56" s="15">
        <f t="shared" si="18"/>
        <v>25.6</v>
      </c>
      <c r="W56" s="15">
        <f t="shared" si="19"/>
        <v>67.993600000000001</v>
      </c>
      <c r="X56" s="27">
        <f t="shared" si="20"/>
        <v>34.752168544536843</v>
      </c>
      <c r="Y56" s="27">
        <f t="shared" si="21"/>
        <v>541.26587736527415</v>
      </c>
      <c r="Z56" s="27">
        <f t="shared" si="22"/>
        <v>113.04</v>
      </c>
      <c r="AA56" s="27">
        <f t="shared" si="23"/>
        <v>428.22587736527413</v>
      </c>
      <c r="AB56" s="28">
        <f t="shared" si="24"/>
        <v>3.8259692307692308E-5</v>
      </c>
      <c r="AC56" s="28">
        <f t="shared" si="25"/>
        <v>9.0586243288808E-6</v>
      </c>
      <c r="AD56" s="28">
        <f t="shared" si="26"/>
        <v>4.7318316636573105E-5</v>
      </c>
      <c r="AE56" s="16">
        <f t="shared" si="27"/>
        <v>11.4388236065634</v>
      </c>
      <c r="AF56" s="29">
        <f t="shared" si="28"/>
        <v>0.55425625842204074</v>
      </c>
      <c r="AG56" s="26">
        <f t="shared" si="29"/>
        <v>20.638149651443825</v>
      </c>
      <c r="AH56" s="26"/>
      <c r="AI56" s="18">
        <f t="shared" si="30"/>
        <v>4.2650208500116944E-7</v>
      </c>
      <c r="AJ56" s="18">
        <f t="shared" si="31"/>
        <v>26820088.362597417</v>
      </c>
      <c r="AK56" s="18"/>
      <c r="AL56" s="16">
        <f t="shared" si="32"/>
        <v>47.272727272727266</v>
      </c>
      <c r="AM56" s="16">
        <f t="shared" si="33"/>
        <v>4.2650204235096094</v>
      </c>
      <c r="AN56" s="26">
        <f t="shared" si="34"/>
        <v>11.08382201692422</v>
      </c>
      <c r="AO56" s="26"/>
      <c r="AP56" s="16">
        <f t="shared" si="35"/>
        <v>7.211074972991395</v>
      </c>
      <c r="AQ56" s="16">
        <f t="shared" si="36"/>
        <v>34.752168544536843</v>
      </c>
      <c r="AS56" s="24"/>
    </row>
    <row r="57" spans="1:45" ht="17" x14ac:dyDescent="0.2">
      <c r="A57" s="19" t="s">
        <v>114</v>
      </c>
      <c r="B57" s="16">
        <f t="shared" si="12"/>
        <v>3.5016646760451136</v>
      </c>
      <c r="C57" s="17">
        <f t="shared" si="37"/>
        <v>0.19624892530215776</v>
      </c>
      <c r="D57" s="15">
        <v>8</v>
      </c>
      <c r="E57" s="15">
        <v>2.25</v>
      </c>
      <c r="F57" s="15">
        <f t="shared" si="13"/>
        <v>204.8</v>
      </c>
      <c r="G57" s="15">
        <f t="shared" si="14"/>
        <v>327.68000000000006</v>
      </c>
      <c r="H57" s="21">
        <v>9.9999999999999995E-8</v>
      </c>
      <c r="I57" s="15">
        <v>8.8000000000000007</v>
      </c>
      <c r="J57" s="15">
        <v>0.55000000000000004</v>
      </c>
      <c r="K57" s="15">
        <v>26</v>
      </c>
      <c r="L57" s="15">
        <v>25</v>
      </c>
      <c r="M57" s="15">
        <v>12</v>
      </c>
      <c r="N57" s="26">
        <f t="shared" si="15"/>
        <v>3.5555555555555554</v>
      </c>
      <c r="O57" s="25">
        <f t="shared" si="38"/>
        <v>0.2</v>
      </c>
      <c r="P57" s="25">
        <v>3.2</v>
      </c>
      <c r="Q57" s="25">
        <f>512</f>
        <v>512</v>
      </c>
      <c r="R57" s="25">
        <v>1</v>
      </c>
      <c r="S57" s="15">
        <f t="shared" si="16"/>
        <v>512</v>
      </c>
      <c r="T57" s="15" t="b">
        <v>0</v>
      </c>
      <c r="U57" s="15">
        <f t="shared" si="17"/>
        <v>0</v>
      </c>
      <c r="V57" s="15">
        <f t="shared" si="18"/>
        <v>25.6</v>
      </c>
      <c r="W57" s="15">
        <f t="shared" si="19"/>
        <v>92.160000000000025</v>
      </c>
      <c r="X57" s="27">
        <f t="shared" si="20"/>
        <v>37.995493446670061</v>
      </c>
      <c r="Y57" s="27">
        <f t="shared" si="21"/>
        <v>541.26587736527415</v>
      </c>
      <c r="Z57" s="27">
        <f t="shared" si="22"/>
        <v>113.04</v>
      </c>
      <c r="AA57" s="27">
        <f t="shared" si="23"/>
        <v>428.22587736527413</v>
      </c>
      <c r="AB57" s="28">
        <f t="shared" si="24"/>
        <v>3.8259692307692308E-5</v>
      </c>
      <c r="AC57" s="28">
        <f t="shared" si="25"/>
        <v>9.0586243288808E-6</v>
      </c>
      <c r="AD57" s="28">
        <f t="shared" si="26"/>
        <v>4.7318316636573105E-5</v>
      </c>
      <c r="AE57" s="16">
        <f t="shared" si="27"/>
        <v>11.4388236065634</v>
      </c>
      <c r="AF57" s="29">
        <f t="shared" si="28"/>
        <v>0.27712812921102037</v>
      </c>
      <c r="AG57" s="26">
        <f t="shared" si="29"/>
        <v>41.276299302887651</v>
      </c>
      <c r="AH57" s="26"/>
      <c r="AI57" s="18">
        <f t="shared" si="30"/>
        <v>3.2784274263445351E-7</v>
      </c>
      <c r="AJ57" s="18">
        <f t="shared" si="31"/>
        <v>34891190.558754422</v>
      </c>
      <c r="AK57" s="18"/>
      <c r="AL57" s="16">
        <f t="shared" si="32"/>
        <v>47.272727272727266</v>
      </c>
      <c r="AM57" s="16">
        <f t="shared" si="33"/>
        <v>3.2784270985017923</v>
      </c>
      <c r="AN57" s="26">
        <f t="shared" si="34"/>
        <v>14.419331542961691</v>
      </c>
      <c r="AO57" s="26"/>
      <c r="AP57" s="16">
        <f t="shared" si="35"/>
        <v>10.686232531875955</v>
      </c>
      <c r="AQ57" s="16">
        <f t="shared" si="36"/>
        <v>37.995493446670061</v>
      </c>
      <c r="AS57" s="24"/>
    </row>
    <row r="58" spans="1:45" x14ac:dyDescent="0.2">
      <c r="A58" s="20" t="s">
        <v>109</v>
      </c>
      <c r="B58" s="16">
        <f t="shared" si="12"/>
        <v>1.4636020154252745</v>
      </c>
      <c r="C58" s="17">
        <f t="shared" si="37"/>
        <v>-0.5</v>
      </c>
      <c r="D58" s="15">
        <v>8</v>
      </c>
      <c r="E58" s="15">
        <v>2.25</v>
      </c>
      <c r="F58" s="25">
        <f t="shared" si="13"/>
        <v>102.4</v>
      </c>
      <c r="G58" s="15">
        <f t="shared" si="14"/>
        <v>163.84000000000003</v>
      </c>
      <c r="H58" s="21">
        <v>9.9999999999999995E-8</v>
      </c>
      <c r="I58" s="15">
        <v>8.8000000000000007</v>
      </c>
      <c r="J58" s="15">
        <v>0.55000000000000004</v>
      </c>
      <c r="K58" s="15">
        <v>26</v>
      </c>
      <c r="L58" s="15">
        <v>25</v>
      </c>
      <c r="M58" s="15">
        <v>12</v>
      </c>
      <c r="N58" s="26">
        <f t="shared" si="15"/>
        <v>3.5555555555555554</v>
      </c>
      <c r="O58" s="25">
        <f t="shared" si="38"/>
        <v>0.2</v>
      </c>
      <c r="P58" s="25">
        <v>0.8</v>
      </c>
      <c r="Q58" s="25">
        <f>512</f>
        <v>512</v>
      </c>
      <c r="R58" s="25">
        <v>2</v>
      </c>
      <c r="S58" s="15">
        <f t="shared" si="16"/>
        <v>1024</v>
      </c>
      <c r="T58" s="15" t="b">
        <v>0</v>
      </c>
      <c r="U58" s="15">
        <f t="shared" si="17"/>
        <v>0</v>
      </c>
      <c r="V58" s="15">
        <f t="shared" si="18"/>
        <v>12.8</v>
      </c>
      <c r="W58" s="15">
        <f t="shared" si="19"/>
        <v>46.080000000000013</v>
      </c>
      <c r="X58" s="27">
        <f t="shared" si="20"/>
        <v>31.76219651530543</v>
      </c>
      <c r="Y58" s="27">
        <f t="shared" si="21"/>
        <v>541.26587736527415</v>
      </c>
      <c r="Z58" s="27">
        <f t="shared" si="22"/>
        <v>113.04</v>
      </c>
      <c r="AA58" s="27">
        <f t="shared" si="23"/>
        <v>428.22587736527413</v>
      </c>
      <c r="AB58" s="28">
        <f t="shared" si="24"/>
        <v>3.8259692307692308E-5</v>
      </c>
      <c r="AC58" s="28">
        <f t="shared" si="25"/>
        <v>9.0586243288808E-6</v>
      </c>
      <c r="AD58" s="28">
        <f t="shared" si="26"/>
        <v>4.7318316636573105E-5</v>
      </c>
      <c r="AE58" s="16">
        <f t="shared" si="27"/>
        <v>11.4388236065634</v>
      </c>
      <c r="AF58" s="29">
        <f t="shared" si="28"/>
        <v>0.55425625842204074</v>
      </c>
      <c r="AG58" s="26">
        <f t="shared" si="29"/>
        <v>20.638149651443825</v>
      </c>
      <c r="AH58" s="26"/>
      <c r="AI58" s="18">
        <f t="shared" si="30"/>
        <v>3.0012992971335144E-7</v>
      </c>
      <c r="AJ58" s="18">
        <f t="shared" si="31"/>
        <v>38112905.358983725</v>
      </c>
      <c r="AK58" s="18"/>
      <c r="AL58" s="16">
        <f t="shared" si="32"/>
        <v>47.272727272727266</v>
      </c>
      <c r="AM58" s="16">
        <f t="shared" si="33"/>
        <v>3.0012989970035848</v>
      </c>
      <c r="AN58" s="26">
        <f t="shared" si="34"/>
        <v>15.750755696091282</v>
      </c>
      <c r="AO58" s="26"/>
      <c r="AP58" s="16">
        <f t="shared" si="35"/>
        <v>8.9331177699296518</v>
      </c>
      <c r="AQ58" s="16">
        <f t="shared" si="36"/>
        <v>31.762196515305426</v>
      </c>
      <c r="AS58" s="24"/>
    </row>
    <row r="59" spans="1:45" ht="17" x14ac:dyDescent="0.2">
      <c r="A59" s="19" t="s">
        <v>103</v>
      </c>
      <c r="B59" s="16">
        <f t="shared" si="12"/>
        <v>4.408084068711589</v>
      </c>
      <c r="C59" s="17">
        <f t="shared" si="37"/>
        <v>0.50590256854447735</v>
      </c>
      <c r="D59" s="25">
        <v>4</v>
      </c>
      <c r="E59" s="15">
        <v>2.25</v>
      </c>
      <c r="F59" s="15">
        <f t="shared" si="13"/>
        <v>204.8</v>
      </c>
      <c r="G59" s="15">
        <f t="shared" si="14"/>
        <v>327.68000000000006</v>
      </c>
      <c r="H59" s="21">
        <v>9.9999999999999995E-8</v>
      </c>
      <c r="I59" s="15">
        <v>8.8000000000000007</v>
      </c>
      <c r="J59" s="15">
        <v>0.55000000000000004</v>
      </c>
      <c r="K59" s="15">
        <v>26</v>
      </c>
      <c r="L59" s="15">
        <v>25</v>
      </c>
      <c r="M59" s="15">
        <v>12</v>
      </c>
      <c r="N59" s="26">
        <f t="shared" si="15"/>
        <v>1.7777777777777777</v>
      </c>
      <c r="O59" s="25">
        <f t="shared" si="38"/>
        <v>0.2</v>
      </c>
      <c r="P59" s="25">
        <v>1.6</v>
      </c>
      <c r="Q59" s="25">
        <f>512</f>
        <v>512</v>
      </c>
      <c r="R59" s="25">
        <v>2</v>
      </c>
      <c r="S59" s="15">
        <f t="shared" si="16"/>
        <v>1024</v>
      </c>
      <c r="T59" s="15" t="b">
        <v>0</v>
      </c>
      <c r="U59" s="15">
        <f t="shared" si="17"/>
        <v>0</v>
      </c>
      <c r="V59" s="15">
        <f t="shared" si="18"/>
        <v>51.2</v>
      </c>
      <c r="W59" s="15">
        <f t="shared" si="19"/>
        <v>184.32000000000005</v>
      </c>
      <c r="X59" s="27">
        <f t="shared" si="20"/>
        <v>23.915386657506446</v>
      </c>
      <c r="Y59" s="27">
        <f t="shared" si="21"/>
        <v>541.26587736527415</v>
      </c>
      <c r="Z59" s="27">
        <f t="shared" si="22"/>
        <v>113.04</v>
      </c>
      <c r="AA59" s="27">
        <f t="shared" si="23"/>
        <v>428.22587736527413</v>
      </c>
      <c r="AB59" s="28">
        <f t="shared" si="24"/>
        <v>3.8259692307692308E-5</v>
      </c>
      <c r="AC59" s="28">
        <f t="shared" si="25"/>
        <v>9.0586243288808E-6</v>
      </c>
      <c r="AD59" s="28">
        <f t="shared" si="26"/>
        <v>4.7318316636573105E-5</v>
      </c>
      <c r="AE59" s="16">
        <f t="shared" si="27"/>
        <v>11.4388236065634</v>
      </c>
      <c r="AF59" s="29">
        <f t="shared" si="28"/>
        <v>0.55425625842204074</v>
      </c>
      <c r="AG59" s="26">
        <f t="shared" si="29"/>
        <v>20.638149651443825</v>
      </c>
      <c r="AH59" s="26"/>
      <c r="AI59" s="18">
        <f t="shared" si="30"/>
        <v>1.223521519355737E-7</v>
      </c>
      <c r="AJ59" s="18">
        <f t="shared" si="31"/>
        <v>93490988.312054187</v>
      </c>
      <c r="AK59" s="18"/>
      <c r="AL59" s="16">
        <f t="shared" si="32"/>
        <v>47.272727272727266</v>
      </c>
      <c r="AM59" s="16">
        <f t="shared" si="33"/>
        <v>1.223521397003585</v>
      </c>
      <c r="AN59" s="26">
        <f t="shared" si="34"/>
        <v>38.63661672652281</v>
      </c>
      <c r="AO59" s="26"/>
      <c r="AP59" s="16">
        <f t="shared" si="35"/>
        <v>13.452404994847374</v>
      </c>
      <c r="AQ59" s="16">
        <f t="shared" si="36"/>
        <v>23.915386657506442</v>
      </c>
      <c r="AS59" s="24"/>
    </row>
    <row r="60" spans="1:45" ht="17" x14ac:dyDescent="0.2">
      <c r="A60" s="19" t="s">
        <v>104</v>
      </c>
      <c r="B60" s="16">
        <f t="shared" si="12"/>
        <v>1.7508323380225568</v>
      </c>
      <c r="C60" s="17">
        <f t="shared" si="37"/>
        <v>-0.40187553734892112</v>
      </c>
      <c r="D60" s="25">
        <v>16</v>
      </c>
      <c r="E60" s="15">
        <v>2.25</v>
      </c>
      <c r="F60" s="15">
        <f t="shared" si="13"/>
        <v>204.8</v>
      </c>
      <c r="G60" s="15">
        <f t="shared" si="14"/>
        <v>327.68000000000006</v>
      </c>
      <c r="H60" s="21">
        <v>9.9999999999999995E-8</v>
      </c>
      <c r="I60" s="15">
        <v>8.8000000000000007</v>
      </c>
      <c r="J60" s="15">
        <v>0.55000000000000004</v>
      </c>
      <c r="K60" s="15">
        <v>26</v>
      </c>
      <c r="L60" s="15">
        <v>25</v>
      </c>
      <c r="M60" s="15">
        <v>12</v>
      </c>
      <c r="N60" s="26">
        <f t="shared" si="15"/>
        <v>7.1111111111111107</v>
      </c>
      <c r="O60" s="25">
        <f t="shared" si="38"/>
        <v>0.2</v>
      </c>
      <c r="P60" s="25">
        <v>1.6</v>
      </c>
      <c r="Q60" s="25">
        <f>512</f>
        <v>512</v>
      </c>
      <c r="R60" s="25">
        <v>2</v>
      </c>
      <c r="S60" s="15">
        <f t="shared" si="16"/>
        <v>1024</v>
      </c>
      <c r="T60" s="15" t="b">
        <v>0</v>
      </c>
      <c r="U60" s="15">
        <f t="shared" si="17"/>
        <v>0</v>
      </c>
      <c r="V60" s="15">
        <f t="shared" si="18"/>
        <v>12.8</v>
      </c>
      <c r="W60" s="15">
        <f t="shared" si="19"/>
        <v>46.080000000000013</v>
      </c>
      <c r="X60" s="27">
        <f t="shared" si="20"/>
        <v>37.995493446670061</v>
      </c>
      <c r="Y60" s="27">
        <f t="shared" si="21"/>
        <v>541.26587736527415</v>
      </c>
      <c r="Z60" s="27">
        <f t="shared" si="22"/>
        <v>113.04</v>
      </c>
      <c r="AA60" s="27">
        <f t="shared" si="23"/>
        <v>428.22587736527413</v>
      </c>
      <c r="AB60" s="28">
        <f t="shared" si="24"/>
        <v>3.8259692307692308E-5</v>
      </c>
      <c r="AC60" s="28">
        <f t="shared" si="25"/>
        <v>9.0586243288808E-6</v>
      </c>
      <c r="AD60" s="28">
        <f t="shared" si="26"/>
        <v>4.7318316636573105E-5</v>
      </c>
      <c r="AE60" s="16">
        <f t="shared" si="27"/>
        <v>11.4388236065634</v>
      </c>
      <c r="AF60" s="29">
        <f t="shared" si="28"/>
        <v>0.55425625842204074</v>
      </c>
      <c r="AG60" s="26">
        <f t="shared" si="29"/>
        <v>20.638149651443825</v>
      </c>
      <c r="AH60" s="26"/>
      <c r="AI60" s="18">
        <f t="shared" si="30"/>
        <v>6.5568548526890702E-7</v>
      </c>
      <c r="AJ60" s="18">
        <f t="shared" si="31"/>
        <v>17445595.279377211</v>
      </c>
      <c r="AK60" s="18"/>
      <c r="AL60" s="16">
        <f t="shared" si="32"/>
        <v>47.272727272727266</v>
      </c>
      <c r="AM60" s="16">
        <f t="shared" si="33"/>
        <v>6.5568541970035845</v>
      </c>
      <c r="AN60" s="26">
        <f t="shared" si="34"/>
        <v>7.2096657714808456</v>
      </c>
      <c r="AO60" s="26"/>
      <c r="AP60" s="16">
        <f t="shared" si="35"/>
        <v>5.3431162659379776</v>
      </c>
      <c r="AQ60" s="16">
        <f t="shared" si="36"/>
        <v>37.995493446670061</v>
      </c>
      <c r="AS60" s="24"/>
    </row>
    <row r="61" spans="1:45" ht="17" x14ac:dyDescent="0.2">
      <c r="A61" s="19" t="s">
        <v>102</v>
      </c>
      <c r="B61" s="16">
        <f t="shared" si="12"/>
        <v>5.9006648106172186</v>
      </c>
      <c r="C61" s="17">
        <f t="shared" si="37"/>
        <v>1.0158023658168713</v>
      </c>
      <c r="D61" s="25">
        <v>2</v>
      </c>
      <c r="E61" s="15">
        <v>2.25</v>
      </c>
      <c r="F61" s="15">
        <f t="shared" si="13"/>
        <v>204.8</v>
      </c>
      <c r="G61" s="15">
        <f t="shared" si="14"/>
        <v>327.68000000000006</v>
      </c>
      <c r="H61" s="21">
        <v>9.9999999999999995E-8</v>
      </c>
      <c r="I61" s="15">
        <v>8.8000000000000007</v>
      </c>
      <c r="J61" s="15">
        <v>0.55000000000000004</v>
      </c>
      <c r="K61" s="15">
        <v>26</v>
      </c>
      <c r="L61" s="15">
        <v>25</v>
      </c>
      <c r="M61" s="15">
        <v>12</v>
      </c>
      <c r="N61" s="26">
        <f t="shared" si="15"/>
        <v>0.88888888888888884</v>
      </c>
      <c r="O61" s="25">
        <f t="shared" si="38"/>
        <v>0.2</v>
      </c>
      <c r="P61" s="25">
        <v>1.6</v>
      </c>
      <c r="Q61" s="25">
        <f>512</f>
        <v>512</v>
      </c>
      <c r="R61" s="25">
        <v>2</v>
      </c>
      <c r="S61" s="15">
        <f t="shared" si="16"/>
        <v>1024</v>
      </c>
      <c r="T61" s="15" t="b">
        <v>0</v>
      </c>
      <c r="U61" s="15">
        <f t="shared" si="17"/>
        <v>0</v>
      </c>
      <c r="V61" s="15">
        <f t="shared" si="18"/>
        <v>102.4</v>
      </c>
      <c r="W61" s="15">
        <f t="shared" si="19"/>
        <v>368.6400000000001</v>
      </c>
      <c r="X61" s="27">
        <f t="shared" si="20"/>
        <v>16.006577719773265</v>
      </c>
      <c r="Y61" s="27">
        <f t="shared" si="21"/>
        <v>541.26587736527415</v>
      </c>
      <c r="Z61" s="27">
        <f t="shared" si="22"/>
        <v>113.04</v>
      </c>
      <c r="AA61" s="27">
        <f t="shared" si="23"/>
        <v>428.22587736527413</v>
      </c>
      <c r="AB61" s="28">
        <f t="shared" si="24"/>
        <v>3.8259692307692308E-5</v>
      </c>
      <c r="AC61" s="28">
        <f t="shared" si="25"/>
        <v>9.0586243288808E-6</v>
      </c>
      <c r="AD61" s="28">
        <f t="shared" si="26"/>
        <v>4.7318316636573105E-5</v>
      </c>
      <c r="AE61" s="16">
        <f t="shared" si="27"/>
        <v>11.4388236065634</v>
      </c>
      <c r="AF61" s="29">
        <f t="shared" si="28"/>
        <v>0.55425625842204074</v>
      </c>
      <c r="AG61" s="26">
        <f t="shared" si="29"/>
        <v>20.638149651443825</v>
      </c>
      <c r="AH61" s="26"/>
      <c r="AI61" s="18">
        <f t="shared" si="30"/>
        <v>3.3463263046684811E-8</v>
      </c>
      <c r="AJ61" s="18">
        <f t="shared" si="31"/>
        <v>341832283.08025503</v>
      </c>
      <c r="AK61" s="18"/>
      <c r="AL61" s="16">
        <f t="shared" si="32"/>
        <v>47.272727272727266</v>
      </c>
      <c r="AM61" s="16">
        <f t="shared" si="33"/>
        <v>0.33463259700358505</v>
      </c>
      <c r="AN61" s="26">
        <f t="shared" si="34"/>
        <v>141.26755043000432</v>
      </c>
      <c r="AO61" s="26"/>
      <c r="AP61" s="16">
        <f t="shared" si="35"/>
        <v>18.007399934744928</v>
      </c>
      <c r="AQ61" s="16">
        <f t="shared" si="36"/>
        <v>16.006577719773269</v>
      </c>
      <c r="AS61" s="24"/>
    </row>
    <row r="64" spans="1:45" x14ac:dyDescent="0.2">
      <c r="F64" s="15">
        <f>F50*32</f>
        <v>6553.6</v>
      </c>
      <c r="G64" s="15">
        <f>G50*32</f>
        <v>10485.760000000002</v>
      </c>
      <c r="H64" s="15">
        <f>G50*32</f>
        <v>10485.760000000002</v>
      </c>
      <c r="N64" s="15">
        <f>N50*32</f>
        <v>113.77777777777777</v>
      </c>
    </row>
  </sheetData>
  <mergeCells count="7">
    <mergeCell ref="A16:A20"/>
    <mergeCell ref="A4:A8"/>
    <mergeCell ref="A28:A32"/>
    <mergeCell ref="A34:A38"/>
    <mergeCell ref="A40:A44"/>
    <mergeCell ref="A10:A14"/>
    <mergeCell ref="A22:A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1DD8-E39C-A846-A3CD-2C9F23D6E87D}">
  <dimension ref="A1:G21"/>
  <sheetViews>
    <sheetView tabSelected="1" zoomScale="160" zoomScaleNormal="160" workbookViewId="0">
      <selection activeCell="G6" sqref="G6"/>
    </sheetView>
  </sheetViews>
  <sheetFormatPr baseColWidth="10" defaultRowHeight="16" x14ac:dyDescent="0.2"/>
  <cols>
    <col min="1" max="1" width="19.1640625" style="23" customWidth="1"/>
    <col min="2" max="2" width="23.33203125" style="15" bestFit="1" customWidth="1"/>
    <col min="3" max="3" width="10" style="15" bestFit="1" customWidth="1"/>
    <col min="4" max="4" width="13.33203125" style="15" bestFit="1" customWidth="1"/>
    <col min="5" max="5" width="10.83203125" style="15"/>
    <col min="6" max="16384" width="10.83203125" style="23"/>
  </cols>
  <sheetData>
    <row r="1" spans="1:7" ht="36" x14ac:dyDescent="0.2">
      <c r="A1" s="23" t="s">
        <v>118</v>
      </c>
      <c r="B1" s="10" t="s">
        <v>137</v>
      </c>
      <c r="C1" s="15" t="s">
        <v>138</v>
      </c>
      <c r="D1" s="15" t="s">
        <v>119</v>
      </c>
      <c r="E1" s="10" t="s">
        <v>129</v>
      </c>
    </row>
    <row r="2" spans="1:7" ht="18" x14ac:dyDescent="0.2">
      <c r="A2" s="23" t="s">
        <v>134</v>
      </c>
      <c r="B2" s="15" t="s">
        <v>130</v>
      </c>
      <c r="C2" s="15">
        <v>1.2</v>
      </c>
      <c r="E2" s="16">
        <f>D2/C2</f>
        <v>0</v>
      </c>
      <c r="F2" s="23" t="e">
        <f>1/E2</f>
        <v>#DIV/0!</v>
      </c>
    </row>
    <row r="3" spans="1:7" ht="18" x14ac:dyDescent="0.2">
      <c r="A3" s="23" t="s">
        <v>133</v>
      </c>
      <c r="B3" s="15" t="s">
        <v>131</v>
      </c>
      <c r="C3" s="15">
        <v>0.4</v>
      </c>
      <c r="E3" s="16">
        <f t="shared" ref="E3:E20" si="0">D3/C3</f>
        <v>0</v>
      </c>
      <c r="F3" s="23" t="e">
        <f>1/E3</f>
        <v>#DIV/0!</v>
      </c>
    </row>
    <row r="4" spans="1:7" ht="18" x14ac:dyDescent="0.2">
      <c r="A4" s="23" t="s">
        <v>132</v>
      </c>
      <c r="B4" s="15" t="s">
        <v>135</v>
      </c>
      <c r="C4" s="15">
        <v>0.3</v>
      </c>
      <c r="D4" s="15">
        <v>0.3</v>
      </c>
      <c r="E4" s="16">
        <f t="shared" si="0"/>
        <v>1</v>
      </c>
      <c r="F4" s="23">
        <f>1/E4</f>
        <v>1</v>
      </c>
    </row>
    <row r="5" spans="1:7" x14ac:dyDescent="0.2">
      <c r="A5" s="23" t="s">
        <v>120</v>
      </c>
      <c r="B5" s="15" t="s">
        <v>126</v>
      </c>
      <c r="C5" s="15">
        <v>1.5</v>
      </c>
      <c r="D5" s="15">
        <v>0.1</v>
      </c>
      <c r="E5" s="16">
        <f t="shared" si="0"/>
        <v>6.6666666666666666E-2</v>
      </c>
      <c r="F5" s="23">
        <f>1/E5</f>
        <v>15</v>
      </c>
      <c r="G5" s="23" t="s">
        <v>153</v>
      </c>
    </row>
    <row r="6" spans="1:7" x14ac:dyDescent="0.2">
      <c r="A6" s="23" t="s">
        <v>151</v>
      </c>
      <c r="B6" s="15" t="s">
        <v>152</v>
      </c>
      <c r="C6" s="15">
        <v>600</v>
      </c>
      <c r="D6" s="15">
        <v>1</v>
      </c>
      <c r="E6" s="16">
        <f t="shared" ref="E6" si="1">D6/C6</f>
        <v>1.6666666666666668E-3</v>
      </c>
      <c r="F6" s="23">
        <f>1/E6</f>
        <v>600</v>
      </c>
    </row>
    <row r="7" spans="1:7" x14ac:dyDescent="0.2">
      <c r="A7" s="23" t="s">
        <v>128</v>
      </c>
      <c r="B7" s="15" t="s">
        <v>127</v>
      </c>
      <c r="C7" s="15">
        <v>117</v>
      </c>
      <c r="D7" s="15">
        <v>70</v>
      </c>
      <c r="E7" s="16">
        <f t="shared" si="0"/>
        <v>0.59829059829059827</v>
      </c>
      <c r="F7" s="23">
        <f>1/E7</f>
        <v>1.6714285714285715</v>
      </c>
    </row>
    <row r="8" spans="1:7" x14ac:dyDescent="0.2">
      <c r="A8" s="23" t="s">
        <v>122</v>
      </c>
      <c r="B8" s="15" t="s">
        <v>136</v>
      </c>
      <c r="C8" s="15">
        <v>140</v>
      </c>
      <c r="E8" s="16">
        <f t="shared" si="0"/>
        <v>0</v>
      </c>
      <c r="F8" s="23" t="e">
        <f>1/E8</f>
        <v>#DIV/0!</v>
      </c>
    </row>
    <row r="9" spans="1:7" x14ac:dyDescent="0.2">
      <c r="A9" s="23" t="s">
        <v>123</v>
      </c>
      <c r="B9" s="15" t="s">
        <v>124</v>
      </c>
      <c r="C9" s="15">
        <v>90</v>
      </c>
      <c r="E9" s="16">
        <f t="shared" si="0"/>
        <v>0</v>
      </c>
      <c r="F9" s="23" t="e">
        <f>1/E9</f>
        <v>#DIV/0!</v>
      </c>
      <c r="G9" s="23">
        <f>0.4*0.9+50*0.1</f>
        <v>5.36</v>
      </c>
    </row>
    <row r="10" spans="1:7" x14ac:dyDescent="0.2">
      <c r="A10" s="23" t="s">
        <v>125</v>
      </c>
      <c r="B10" s="15" t="s">
        <v>126</v>
      </c>
      <c r="C10" s="15">
        <v>1</v>
      </c>
      <c r="E10" s="16">
        <f t="shared" si="0"/>
        <v>0</v>
      </c>
      <c r="F10" s="23" t="e">
        <f>1/E10</f>
        <v>#DIV/0!</v>
      </c>
    </row>
    <row r="11" spans="1:7" x14ac:dyDescent="0.2">
      <c r="A11" s="23" t="s">
        <v>139</v>
      </c>
      <c r="B11" s="15" t="s">
        <v>140</v>
      </c>
      <c r="C11" s="15">
        <v>20</v>
      </c>
      <c r="E11" s="16">
        <f t="shared" si="0"/>
        <v>0</v>
      </c>
      <c r="F11" s="23" t="e">
        <f>1/E11</f>
        <v>#DIV/0!</v>
      </c>
    </row>
    <row r="12" spans="1:7" x14ac:dyDescent="0.2">
      <c r="A12" s="23" t="s">
        <v>141</v>
      </c>
      <c r="B12" s="15" t="s">
        <v>142</v>
      </c>
      <c r="C12" s="15">
        <v>0.5</v>
      </c>
      <c r="E12" s="16">
        <f t="shared" si="0"/>
        <v>0</v>
      </c>
      <c r="F12" s="23" t="e">
        <f>1/E12</f>
        <v>#DIV/0!</v>
      </c>
    </row>
    <row r="13" spans="1:7" x14ac:dyDescent="0.2">
      <c r="A13" s="23" t="s">
        <v>145</v>
      </c>
      <c r="B13" s="15">
        <v>205</v>
      </c>
      <c r="C13" s="15">
        <v>205</v>
      </c>
      <c r="E13" s="16">
        <f t="shared" si="0"/>
        <v>0</v>
      </c>
      <c r="F13" s="23" t="e">
        <f>1/E13</f>
        <v>#DIV/0!</v>
      </c>
    </row>
    <row r="14" spans="1:7" x14ac:dyDescent="0.2">
      <c r="A14" s="23" t="s">
        <v>143</v>
      </c>
      <c r="B14" s="15">
        <v>386</v>
      </c>
      <c r="C14" s="15">
        <v>386</v>
      </c>
      <c r="E14" s="16">
        <f t="shared" si="0"/>
        <v>0</v>
      </c>
      <c r="F14" s="23" t="e">
        <f>1/E14</f>
        <v>#DIV/0!</v>
      </c>
    </row>
    <row r="15" spans="1:7" x14ac:dyDescent="0.2">
      <c r="A15" s="23" t="s">
        <v>144</v>
      </c>
      <c r="B15" s="15">
        <v>173</v>
      </c>
      <c r="C15" s="15">
        <v>173</v>
      </c>
      <c r="E15" s="16">
        <f t="shared" si="0"/>
        <v>0</v>
      </c>
      <c r="F15" s="23" t="e">
        <f>1/E15</f>
        <v>#DIV/0!</v>
      </c>
    </row>
    <row r="16" spans="1:7" x14ac:dyDescent="0.2">
      <c r="A16" s="23" t="s">
        <v>146</v>
      </c>
      <c r="B16" s="15">
        <v>138</v>
      </c>
      <c r="C16" s="15">
        <v>138</v>
      </c>
      <c r="E16" s="16">
        <f t="shared" si="0"/>
        <v>0</v>
      </c>
      <c r="F16" s="23" t="e">
        <f>1/E16</f>
        <v>#DIV/0!</v>
      </c>
    </row>
    <row r="17" spans="1:6" x14ac:dyDescent="0.2">
      <c r="A17" s="23" t="s">
        <v>149</v>
      </c>
      <c r="B17" s="15">
        <v>100</v>
      </c>
      <c r="C17" s="15">
        <v>100</v>
      </c>
      <c r="E17" s="16">
        <f t="shared" si="0"/>
        <v>0</v>
      </c>
      <c r="F17" s="23" t="e">
        <f>1/E17</f>
        <v>#DIV/0!</v>
      </c>
    </row>
    <row r="18" spans="1:6" x14ac:dyDescent="0.2">
      <c r="A18" s="23" t="s">
        <v>147</v>
      </c>
      <c r="B18" s="15">
        <v>117</v>
      </c>
      <c r="C18" s="15">
        <v>117</v>
      </c>
      <c r="E18" s="16">
        <f t="shared" si="0"/>
        <v>0</v>
      </c>
      <c r="F18" s="23" t="e">
        <f>1/E18</f>
        <v>#DIV/0!</v>
      </c>
    </row>
    <row r="19" spans="1:6" x14ac:dyDescent="0.2">
      <c r="A19" s="23" t="s">
        <v>148</v>
      </c>
      <c r="B19" s="15">
        <v>57</v>
      </c>
      <c r="C19" s="15">
        <v>57</v>
      </c>
      <c r="E19" s="16">
        <f t="shared" si="0"/>
        <v>0</v>
      </c>
      <c r="F19" s="23" t="e">
        <f>1/E19</f>
        <v>#DIV/0!</v>
      </c>
    </row>
    <row r="20" spans="1:6" x14ac:dyDescent="0.2">
      <c r="A20" s="23" t="s">
        <v>150</v>
      </c>
      <c r="B20" s="15">
        <v>150</v>
      </c>
      <c r="C20" s="15">
        <v>150</v>
      </c>
      <c r="E20" s="16">
        <f t="shared" si="0"/>
        <v>0</v>
      </c>
    </row>
    <row r="21" spans="1:6" x14ac:dyDescent="0.2">
      <c r="C21" s="15" t="s">
        <v>121</v>
      </c>
      <c r="D21" s="15">
        <f>SUM(D2:D10)</f>
        <v>71.400000000000006</v>
      </c>
      <c r="E21" s="16">
        <f>SUM(E2:E11)</f>
        <v>1.6666239316239317</v>
      </c>
      <c r="F21" s="23">
        <f>1/E21</f>
        <v>0.60001538500987206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µBump technology</vt:lpstr>
      <vt:lpstr>Disagg. Memory </vt:lpstr>
      <vt:lpstr>Thermal resistance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2023-02-10T17:50:12Z</dcterms:created>
  <dcterms:modified xsi:type="dcterms:W3CDTF">2023-07-26T06:22:18Z</dcterms:modified>
</cp:coreProperties>
</file>