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Path Finding General/P1250 Scope/"/>
    </mc:Choice>
  </mc:AlternateContent>
  <xr:revisionPtr revIDLastSave="0" documentId="8_{F3DCE902-B46F-A043-8EFB-F8ED5926480B}" xr6:coauthVersionLast="45" xr6:coauthVersionMax="45" xr10:uidLastSave="{00000000-0000-0000-0000-000000000000}"/>
  <bookViews>
    <workbookView xWindow="0" yWindow="460" windowWidth="28800" windowHeight="15840" xr2:uid="{DF9EBDFC-D225-4C2B-9A74-CD836D9C2325}"/>
  </bookViews>
  <sheets>
    <sheet name="BWF_ATF_BasedOnXLSReconstr_r0.0" sheetId="2" r:id="rId1"/>
    <sheet name="DTS_Legend" sheetId="1" r:id="rId2"/>
    <sheet name="OLD-&gt;" sheetId="4" r:id="rId3"/>
    <sheet name="3.8_template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5" i="2" l="1"/>
  <c r="D55" i="2"/>
  <c r="E46" i="2"/>
  <c r="D46" i="2"/>
  <c r="D144" i="2"/>
  <c r="D108" i="2"/>
  <c r="D107" i="2"/>
  <c r="D50" i="2"/>
  <c r="D12" i="2"/>
  <c r="D11" i="2"/>
  <c r="D10" i="2"/>
  <c r="D9" i="2"/>
  <c r="D7" i="2"/>
  <c r="D6" i="2"/>
  <c r="D5" i="2"/>
  <c r="D4" i="2"/>
  <c r="D3" i="2"/>
  <c r="E12" i="2"/>
  <c r="E11" i="2"/>
  <c r="E10" i="2"/>
  <c r="E4" i="2"/>
  <c r="E5" i="2"/>
  <c r="E6" i="2"/>
  <c r="E7" i="2"/>
  <c r="E3" i="2"/>
  <c r="F144" i="3" l="1"/>
  <c r="E144" i="3"/>
  <c r="G141" i="3"/>
  <c r="F141" i="3"/>
  <c r="E141" i="3"/>
  <c r="G108" i="3"/>
  <c r="F108" i="3"/>
  <c r="E108" i="3"/>
  <c r="G107" i="3"/>
  <c r="F107" i="3"/>
  <c r="E107" i="3"/>
  <c r="F50" i="3"/>
  <c r="E50" i="3"/>
  <c r="F46" i="3"/>
  <c r="E46" i="3"/>
  <c r="F10" i="3"/>
  <c r="E10" i="3"/>
  <c r="F9" i="3"/>
  <c r="E9" i="3"/>
  <c r="F7" i="3"/>
  <c r="E7" i="3"/>
  <c r="G6" i="3"/>
  <c r="F6" i="3"/>
  <c r="E6" i="3"/>
  <c r="G5" i="3"/>
  <c r="F5" i="3"/>
  <c r="E5" i="3"/>
  <c r="G4" i="3"/>
  <c r="F4" i="3"/>
  <c r="E4" i="3"/>
  <c r="G3" i="3"/>
  <c r="F3" i="3"/>
  <c r="E3" i="3"/>
  <c r="F144" i="2"/>
  <c r="E144" i="2"/>
  <c r="G141" i="2"/>
  <c r="F141" i="2"/>
  <c r="G108" i="2"/>
  <c r="F108" i="2"/>
  <c r="E108" i="2"/>
  <c r="G107" i="2"/>
  <c r="F107" i="2"/>
  <c r="E107" i="2"/>
  <c r="F50" i="2"/>
  <c r="E50" i="2"/>
  <c r="F46" i="2"/>
  <c r="F10" i="2"/>
  <c r="F9" i="2"/>
  <c r="E9" i="2"/>
  <c r="F7" i="2"/>
  <c r="G6" i="2"/>
  <c r="F6" i="2"/>
  <c r="G5" i="2"/>
  <c r="F5" i="2"/>
  <c r="G4" i="2"/>
  <c r="F4" i="2"/>
  <c r="G3" i="2"/>
  <c r="F3" i="2"/>
</calcChain>
</file>

<file path=xl/sharedStrings.xml><?xml version="1.0" encoding="utf-8"?>
<sst xmlns="http://schemas.openxmlformats.org/spreadsheetml/2006/main" count="886" uniqueCount="249">
  <si>
    <t>black</t>
  </si>
  <si>
    <t>BKM/Eng. judgement</t>
  </si>
  <si>
    <t>red</t>
  </si>
  <si>
    <t>consistency not warrented</t>
  </si>
  <si>
    <t>orange</t>
  </si>
  <si>
    <t>quantification sensitivity unclear</t>
  </si>
  <si>
    <t>Yield/Goal Spec</t>
  </si>
  <si>
    <t>Scaling applied</t>
  </si>
  <si>
    <t>Array Leakage</t>
  </si>
  <si>
    <t xml:space="preserve"> SET cell, selection leakage per cell (nA)</t>
  </si>
  <si>
    <t>Scaled by area</t>
  </si>
  <si>
    <t xml:space="preserve"> RESET cell, selection leakage per cell (nA)</t>
  </si>
  <si>
    <t xml:space="preserve"> @Deselect Write bias DUMMY cell, selection leakage per cell (nA)</t>
  </si>
  <si>
    <t xml:space="preserve"> @Deselect Write +Ccell bias DUMMY cell, selection leakage per cell (nA)</t>
  </si>
  <si>
    <t>Leakage current per cell @Ccell Bias, @ Max Temp (pA)</t>
  </si>
  <si>
    <t>Format of IV equation</t>
  </si>
  <si>
    <t>unchanged</t>
  </si>
  <si>
    <t>IV Equation pre-factor set</t>
  </si>
  <si>
    <t>NA</t>
  </si>
  <si>
    <t>IV Equation pre-factor reset</t>
  </si>
  <si>
    <t>IV Equation Rho1</t>
  </si>
  <si>
    <t>IV Equation Rho2</t>
  </si>
  <si>
    <t>IV Equation sigma</t>
  </si>
  <si>
    <t>IV Equation bita</t>
  </si>
  <si>
    <t>SET (State and Operation)</t>
  </si>
  <si>
    <t>Median die Set Vt, @ min delay after write, @ Max Temp (mV)</t>
  </si>
  <si>
    <t>Reverted back to S26A - PI to skew SD thk to match S26A</t>
  </si>
  <si>
    <t>Set Vt temperature dependence (mV / C)</t>
  </si>
  <si>
    <t>Set Vt bit-to-bit sigma, single pulse, across all drift timescales (mV)</t>
  </si>
  <si>
    <t>Set Vt sigma slope to Set Vt med (mV/mV)</t>
  </si>
  <si>
    <t>Max Systematic Xtile SET VT Variation (mV)</t>
  </si>
  <si>
    <t>Nucleation Speed Pre-Cyc (ns) (3 sigma bit)</t>
  </si>
  <si>
    <t>Nucleation Speed Pst-Cyc (ns)  (3 sigma bit)</t>
  </si>
  <si>
    <t>Nucleation Speed Slope to DVT (ns/mV)  (3 sigma bit)</t>
  </si>
  <si>
    <t>N.A.</t>
  </si>
  <si>
    <t>Growth Speed Pre-Cyc (ns) (3 sigma bit)</t>
  </si>
  <si>
    <t>Growth Speed Pst-Cyc (ns) (3 sigma bit)</t>
  </si>
  <si>
    <t>Set pulse SHAPE capability (uA) - I1 N @ 85C</t>
  </si>
  <si>
    <t>Set pulse SHAPE capability (uA) - I1 M @ 85C</t>
  </si>
  <si>
    <t>Set pulse SHAPE capability (uA) - I1 F @ 85C</t>
  </si>
  <si>
    <t>Set pulse SHAPE capability (uA) - I4 / eSSR setback @ 85C</t>
  </si>
  <si>
    <t>Set pulse SHAPE capability (uA) - I3A N @ 85C</t>
  </si>
  <si>
    <t>Set pulse SHAPE capability (uA) - I3A M @ 85C</t>
  </si>
  <si>
    <t>Set pulse SHAPE capability (uA) - I3A F @ 85C</t>
  </si>
  <si>
    <t>Set pulse SHAPE capability (uA) - I3B @ 85C</t>
  </si>
  <si>
    <t>Set pulse SHAPE capability (uA) - I3C / eSSR growth  @ 85C</t>
  </si>
  <si>
    <t>N/A</t>
  </si>
  <si>
    <t>SET I3C slope to Resistance (CD proxy) (uA/nm)</t>
  </si>
  <si>
    <t>RESET (State and Operation)</t>
  </si>
  <si>
    <t>Median die Reset Vt, @ min delay after write, @ Max Temp (mV)</t>
  </si>
  <si>
    <t>Reverted back to S26A - PI to skew PM thk to match S26A dVt</t>
  </si>
  <si>
    <t>Delta Vt @ min delay after write, @Max Temp (mV)</t>
  </si>
  <si>
    <t>Reset Vt temperature dependence (mV / C)</t>
  </si>
  <si>
    <t>Reset Vt bit-to-bit sigma, single pulse, across all drift timescales (mV)</t>
  </si>
  <si>
    <t>Reset Vt sigma slope to RST Vt med (mV/mV)</t>
  </si>
  <si>
    <t>Max Systematic Xtile RESET VT Variation (mV)</t>
  </si>
  <si>
    <t>Median bit reset current @  85C (uA) pre seasoning</t>
  </si>
  <si>
    <t>CHANGE</t>
  </si>
  <si>
    <t>I-Reset current, @  Max Temp post seasoning 3.54s bit (uA)</t>
  </si>
  <si>
    <t>Required duration for I_cell &gt; I-Reset current</t>
  </si>
  <si>
    <t>I-Reset slope to Resistance (CD proxy) (uA/nm)</t>
  </si>
  <si>
    <t>?</t>
  </si>
  <si>
    <t>Maximum over-reset pre cyc (108% of Ireset current for 3.54s bit)</t>
  </si>
  <si>
    <t>Expected Irset increase through cycling (uA)</t>
  </si>
  <si>
    <t>Imelt current temperature coefficient (uA / C)</t>
  </si>
  <si>
    <t>Ireset current temperature coefficient (uA / C)</t>
  </si>
  <si>
    <t>I-Melt current Median. @ Max Temp, Initial (uA)</t>
  </si>
  <si>
    <t>I-Melt current Min. @ Max Temp, Initial (uA)</t>
  </si>
  <si>
    <t>I-Melt slope to Resistance (CD proxy) (uA/nm)</t>
  </si>
  <si>
    <t>On state</t>
  </si>
  <si>
    <t>Rpath (Ohms)</t>
  </si>
  <si>
    <t>Rperiph (TT CMOS) (ohms) @ VDM0 Read bias</t>
  </si>
  <si>
    <t>CD scaling</t>
  </si>
  <si>
    <t>Rpath@-3s [ED1] (Ohms) - (0C)</t>
  </si>
  <si>
    <t>Rpath@-3s [ED10] (Ohms) (0C)</t>
  </si>
  <si>
    <t>Rpath@+3s [ED1] (Ohms) (85C)</t>
  </si>
  <si>
    <t>Rpath@+3s [ED10] (Ohms) (85C)</t>
  </si>
  <si>
    <t>Ihold equation (uA)</t>
  </si>
  <si>
    <t>Ihold equation - post cycling (uA)</t>
  </si>
  <si>
    <t>Vhold equation (V)</t>
  </si>
  <si>
    <t>Vhold equation - post cycling (V)</t>
  </si>
  <si>
    <t>I_hold @ 30C (uA)</t>
  </si>
  <si>
    <t>5uA FF,</t>
  </si>
  <si>
    <t>1uA</t>
  </si>
  <si>
    <t>7uA MM,</t>
  </si>
  <si>
    <t>9uA NN</t>
  </si>
  <si>
    <t>DVD I@ I-Reset F(Temp in C) (Ohms)</t>
  </si>
  <si>
    <t>Von @ I-Reset, 30C, Initial (V)</t>
  </si>
  <si>
    <t>3V</t>
  </si>
  <si>
    <t>0.07V</t>
  </si>
  <si>
    <t>Von @ I1, 30C, Initial (V)</t>
  </si>
  <si>
    <t>4.2V FF,</t>
  </si>
  <si>
    <t>0.1V</t>
  </si>
  <si>
    <t>4V MM,</t>
  </si>
  <si>
    <t>3.8V NN</t>
  </si>
  <si>
    <t>Von @ I3, 30C, Initial (V)</t>
  </si>
  <si>
    <t>3.05V</t>
  </si>
  <si>
    <t>0.08V</t>
  </si>
  <si>
    <t>I_hold  @30C, Post-cycles (uA)</t>
  </si>
  <si>
    <t>7uA FF,</t>
  </si>
  <si>
    <t>1.3uA</t>
  </si>
  <si>
    <t>9uA MM,</t>
  </si>
  <si>
    <t>11uA NN</t>
  </si>
  <si>
    <t>Von @ I-Reset, 30C, Post-cycles (V)</t>
  </si>
  <si>
    <t>2.6V</t>
  </si>
  <si>
    <t>Von @ I1, 30C, Post-cycles (V)</t>
  </si>
  <si>
    <t>4V FF,</t>
  </si>
  <si>
    <t>0.15V</t>
  </si>
  <si>
    <t>3.8V MM,</t>
  </si>
  <si>
    <t>3.6V NN</t>
  </si>
  <si>
    <t>Von @ I3, 30C, Post-cycles (V)</t>
  </si>
  <si>
    <t>2.55V</t>
  </si>
  <si>
    <t>I_hold @ 85C (uA) - FF (uA) - pre cyc</t>
  </si>
  <si>
    <t>I_hold @ 85C (uA) - MM (uA) - pre cyc</t>
  </si>
  <si>
    <t>I_hold @ 85C (uA) - NN (uA) - pre cyc</t>
  </si>
  <si>
    <t>Von @ I-Reset, @85C, Initial (V)</t>
  </si>
  <si>
    <t>Von @ I1,  @85C, Initial (V)</t>
  </si>
  <si>
    <t>4.1V FF,</t>
  </si>
  <si>
    <t>3.9V MM,</t>
  </si>
  <si>
    <t>3.7V NN</t>
  </si>
  <si>
    <t>Von @ I3,  @85C, Initial (V)</t>
  </si>
  <si>
    <t>I_hold  @85C, Post-cycles (uA)</t>
  </si>
  <si>
    <t>6uA FF,</t>
  </si>
  <si>
    <t>8uA MM,</t>
  </si>
  <si>
    <t>10uA NN</t>
  </si>
  <si>
    <t>Von @ I-Reset,  @85C, Post-cycles (V)</t>
  </si>
  <si>
    <t>Von @ I1,  @85C, Post-cycles (V)</t>
  </si>
  <si>
    <t>3.9V FF,</t>
  </si>
  <si>
    <t>3.7V MM,</t>
  </si>
  <si>
    <t>3.5V NN</t>
  </si>
  <si>
    <t>Von @ I3,  @85C, Post-cycles (V)</t>
  </si>
  <si>
    <t>2.5V</t>
  </si>
  <si>
    <t>Reliability</t>
  </si>
  <si>
    <t>Reset VT Drift slope to DVT (mV/mV)</t>
  </si>
  <si>
    <r>
      <t xml:space="preserve">Additional Widnow loss due to </t>
    </r>
    <r>
      <rPr>
        <b/>
        <sz val="11"/>
        <rFont val="Verdana"/>
        <family val="2"/>
      </rPr>
      <t xml:space="preserve">Bias drift [mV] </t>
    </r>
    <r>
      <rPr>
        <sz val="11"/>
        <rFont val="Verdana"/>
        <family val="2"/>
      </rPr>
      <t>(add in addition to unbiased drift for Power-On specs - Time &lt;= 12hr)  (Reliability/Performance)</t>
    </r>
  </si>
  <si>
    <t>∆E3 Vt Shift @ EOL [1 -&gt; 4M NW] @ ED1 @ M354S (mV)</t>
  </si>
  <si>
    <t>∆E3 Vt Shift @ First Dynamic VDM point [1 -&gt; 20k NW] @ ED1 @ M354S (mV)</t>
  </si>
  <si>
    <t>E2 Vt Turnaround [Vt shift from 150k -&gt; 4M NW] @ ED1 @ M329S (mV)</t>
  </si>
  <si>
    <t>E1 Min Vt through cycles [1 - 4M NW] @ ED1 @ M354S (mV)</t>
  </si>
  <si>
    <t>∆E2 Vt Shift @ EOL [1 -&gt; 4M NW] @ ED1 @ MED (mV)</t>
  </si>
  <si>
    <t>∆E2 Vt Shift @ E2_Min [1 -&gt; 150k NW] @ ED1 @MED (mV)</t>
  </si>
  <si>
    <t>∆E2 Vt Shift @ First Dynamic VDM point [1 -&gt; 20k NW] @ ED1 @ MED (mV)</t>
  </si>
  <si>
    <t>E2 Sigma (mV) @ EOL [4M] @ ED1</t>
  </si>
  <si>
    <t>VT window reduction between time-0 -&gt; EOL [ 1 -&gt;4M cycles] @worse-case sigma @VDM0 @ED1 (mV)</t>
  </si>
  <si>
    <t>Array Parasitics</t>
  </si>
  <si>
    <t>Assumption is that temperature dependence does not change with scaling. Updated for WSiN elim</t>
  </si>
  <si>
    <t>Wordline resistance (30C) (Ohm/cell)</t>
  </si>
  <si>
    <t>D1||D2</t>
  </si>
  <si>
    <t>Assumption is that temperature dependence does not change with scaling (needs validated)</t>
  </si>
  <si>
    <t>Bitline resistance (30C) (Ohm/cell</t>
  </si>
  <si>
    <t>D0||D1</t>
  </si>
  <si>
    <t>Wordline capacitance (30C) (aF / cell /side)</t>
  </si>
  <si>
    <t>Bitline capacitance (30C) (aF / cell /side)</t>
  </si>
  <si>
    <t>Cell capacitance at 1.2V (30C)  (aF / cell)</t>
  </si>
  <si>
    <t>Other</t>
  </si>
  <si>
    <t>Maximum Vt at first fire (V)</t>
  </si>
  <si>
    <t>Model Parameter / usage</t>
  </si>
  <si>
    <t>BWF Speculative
 Median Die</t>
  </si>
  <si>
    <t>ATF
D1 Median Die</t>
  </si>
  <si>
    <t>ATF D1 1 sigma
DTD, WTW, LTL</t>
  </si>
  <si>
    <r>
      <rPr>
        <b/>
        <u/>
        <sz val="11"/>
        <color theme="1"/>
        <rFont val="Verdana"/>
        <family val="2"/>
      </rPr>
      <t xml:space="preserve">Yes: S26A lkg*0.5*1.33
</t>
    </r>
    <r>
      <rPr>
        <sz val="11"/>
        <color theme="1"/>
        <rFont val="Verdana"/>
        <family val="2"/>
      </rPr>
      <t>(Area scaled by 0.5x
1.33x GB assumed)</t>
    </r>
  </si>
  <si>
    <t>Median: vt_set_d(0, 1, 2, 3); Sigma: sig_vtset_d(0, 1, 2, 3)</t>
  </si>
  <si>
    <t>tc_vtset_d(0, 1, 2, 3)</t>
  </si>
  <si>
    <t>sigma_vtset_d(0, 1, 2, 3)</t>
  </si>
  <si>
    <t>slope_vtset_d(0, 1, 2, 3)</t>
  </si>
  <si>
    <t>xtile_set_d(0, 1, 2,3)</t>
  </si>
  <si>
    <r>
      <rPr>
        <b/>
        <u/>
        <sz val="11"/>
        <color theme="1"/>
        <rFont val="Verdana"/>
        <family val="2"/>
      </rPr>
      <t>Not yet scaled:</t>
    </r>
    <r>
      <rPr>
        <sz val="11"/>
        <color theme="1"/>
        <rFont val="Verdana"/>
        <family val="2"/>
      </rPr>
      <t xml:space="preserve">
Using 20 nm S26A data
Scaling method TBD (AR: Lu)</t>
    </r>
  </si>
  <si>
    <t xml:space="preserve">Max(I1, I4) is Ion_pre_d(0, 1, 2, 3) for read, no tc and pre/post-cycle change implemented. </t>
  </si>
  <si>
    <t>I3C is Ion_pre_d(0, 1, 2, 3) for set, no tc and pre/post-cycle change implemented</t>
  </si>
  <si>
    <t>Set Pulse Amplitude Temperature Coefficient - 
I1, I3C, I4 (nA/C)</t>
  </si>
  <si>
    <t>Used CD skew data from Lu
No need for scaling.</t>
  </si>
  <si>
    <t>Median: vt_rst_d(0, 1, 2, 3); Sigma: sig_vtrst_d(0, 1, 2, 3)</t>
  </si>
  <si>
    <t>tc_vtrst_d(0, 1, 2, 3)</t>
  </si>
  <si>
    <t>sigma_vtrst_d(0, 1, 2, 3)</t>
  </si>
  <si>
    <t>slope_vtrst_d(0, 1, 2, 3)</t>
  </si>
  <si>
    <r>
      <rPr>
        <b/>
        <sz val="11"/>
        <color theme="1"/>
        <rFont val="Verdana"/>
        <family val="2"/>
      </rPr>
      <t>Yes: Vt = Vt0 - 1.87835 * (A-254)</t>
    </r>
    <r>
      <rPr>
        <sz val="11"/>
        <color theme="1"/>
        <rFont val="Verdana"/>
        <family val="2"/>
      </rPr>
      <t xml:space="preserve">
Vt in mV and area A in nm2
I_Scaled = 0.6*I_S26A</t>
    </r>
  </si>
  <si>
    <t>ion_pre_d(0, 1, 2, 3) for reset</t>
  </si>
  <si>
    <t>t = 3.3 ns 
(2.05 - 4.55 ns)</t>
  </si>
  <si>
    <t>Implemented in the model</t>
  </si>
  <si>
    <t>tc_ion_pre_d(0, 1, 2, 3) for reset</t>
  </si>
  <si>
    <t>Slope1 VTI Set2Reset:
Delta Vt after 50uA RESET pulse (mV / uA)</t>
  </si>
  <si>
    <t xml:space="preserve">
Scaled based on Rpath resistance increases (WL, BL, Via), Rperiph not scaled</t>
  </si>
  <si>
    <r>
      <t>I_hold Max: ED10, ED1
(-3</t>
    </r>
    <r>
      <rPr>
        <sz val="11"/>
        <rFont val="Calibri"/>
        <family val="2"/>
      </rPr>
      <t>σ</t>
    </r>
    <r>
      <rPr>
        <sz val="7.7"/>
        <rFont val="Verdana"/>
        <family val="2"/>
      </rPr>
      <t xml:space="preserve"> </t>
    </r>
    <r>
      <rPr>
        <sz val="11"/>
        <rFont val="Verdana"/>
        <family val="2"/>
      </rPr>
      <t>WL/BL/Via Res, TT CMOS, 0C post-cycles) [uA]</t>
    </r>
  </si>
  <si>
    <t>Ihold3_post_d(0, 1, 2, 3)</t>
  </si>
  <si>
    <t>Ihold4_post_d(0, 1, 2, 3)</t>
  </si>
  <si>
    <r>
      <t>I_hold Min: ED10, ED1
(+3</t>
    </r>
    <r>
      <rPr>
        <sz val="11"/>
        <rFont val="Calibri"/>
        <family val="2"/>
      </rPr>
      <t>σ</t>
    </r>
    <r>
      <rPr>
        <sz val="7.7"/>
        <rFont val="Verdana"/>
        <family val="2"/>
      </rPr>
      <t xml:space="preserve"> </t>
    </r>
    <r>
      <rPr>
        <sz val="11"/>
        <rFont val="Verdana"/>
        <family val="2"/>
      </rPr>
      <t>WL/BL/Via Res, TT CMOS, 85C pre-cycles) [uA]</t>
    </r>
  </si>
  <si>
    <t>Ihold1_pre_d(0, 1, 2, 3)</t>
  </si>
  <si>
    <t>Ihold2_pre_d(0, 1, 2, 3)</t>
  </si>
  <si>
    <t>calculated tc_von_pre_d(0, 1, 2, 3) for reset</t>
  </si>
  <si>
    <t>calculated tc_von_pre_d(0, 1, 2, 3) for read and set</t>
  </si>
  <si>
    <t>calculated tc_von_post_d(0, 1, 2, 3) for reset</t>
  </si>
  <si>
    <t>calculated tc_von_post_d(0, 1, 2, 3) for read and set</t>
  </si>
  <si>
    <t>von_pre_d(0, 1, 2, 3) for reset</t>
  </si>
  <si>
    <t>von_pre_d(0, 1, 2, 3) for read and set</t>
  </si>
  <si>
    <t>von_post_d(0, 1, 2, 3) for reset</t>
  </si>
  <si>
    <t>von_post_d(0, 1, 2, 3) for read and set</t>
  </si>
  <si>
    <r>
      <rPr>
        <b/>
        <sz val="11"/>
        <rFont val="Verdana"/>
        <family val="2"/>
      </rPr>
      <t>Reset Vt Drift</t>
    </r>
    <r>
      <rPr>
        <sz val="11"/>
        <rFont val="Verdana"/>
        <family val="2"/>
      </rPr>
      <t xml:space="preserve"> between min delay after write -&gt; Max delay after write at </t>
    </r>
    <r>
      <rPr>
        <b/>
        <sz val="11"/>
        <rFont val="Verdana"/>
        <family val="2"/>
      </rPr>
      <t>time-0</t>
    </r>
    <r>
      <rPr>
        <sz val="11"/>
        <rFont val="Verdana"/>
        <family val="2"/>
      </rPr>
      <t xml:space="preserve"> for 
</t>
    </r>
    <r>
      <rPr>
        <b/>
        <sz val="11"/>
        <rFont val="Verdana"/>
        <family val="2"/>
      </rPr>
      <t xml:space="preserve">VDM0 [1us -&gt; 3s] </t>
    </r>
    <r>
      <rPr>
        <sz val="11"/>
        <rFont val="Verdana"/>
        <family val="2"/>
      </rPr>
      <t>@ Max Temp [85C] @ ED1 @M3</t>
    </r>
    <r>
      <rPr>
        <b/>
        <i/>
        <sz val="11"/>
        <rFont val="Verdana"/>
        <family val="2"/>
      </rPr>
      <t>54</t>
    </r>
    <r>
      <rPr>
        <sz val="11"/>
        <rFont val="Verdana"/>
        <family val="2"/>
      </rPr>
      <t>S (mV)</t>
    </r>
  </si>
  <si>
    <t>drift1_rst_d(0, 1, 2, 3)</t>
  </si>
  <si>
    <r>
      <rPr>
        <b/>
        <sz val="11"/>
        <rFont val="Verdana"/>
        <family val="2"/>
      </rPr>
      <t>Reset Vt Drift</t>
    </r>
    <r>
      <rPr>
        <sz val="11"/>
        <rFont val="Verdana"/>
        <family val="2"/>
      </rPr>
      <t xml:space="preserve"> between min delay after write -&gt; Max delay after write at </t>
    </r>
    <r>
      <rPr>
        <b/>
        <sz val="11"/>
        <rFont val="Verdana"/>
        <family val="2"/>
      </rPr>
      <t>4M NWs</t>
    </r>
    <r>
      <rPr>
        <sz val="11"/>
        <rFont val="Verdana"/>
        <family val="2"/>
      </rPr>
      <t xml:space="preserve"> for 
</t>
    </r>
    <r>
      <rPr>
        <b/>
        <sz val="11"/>
        <rFont val="Verdana"/>
        <family val="2"/>
      </rPr>
      <t xml:space="preserve">VDM0 [1us -&gt; 3s] </t>
    </r>
    <r>
      <rPr>
        <sz val="11"/>
        <rFont val="Verdana"/>
        <family val="2"/>
      </rPr>
      <t>@ Max Temp [85C] @ ED1 @M3</t>
    </r>
    <r>
      <rPr>
        <b/>
        <i/>
        <sz val="11"/>
        <rFont val="Verdana"/>
        <family val="2"/>
      </rPr>
      <t>54</t>
    </r>
    <r>
      <rPr>
        <sz val="11"/>
        <rFont val="Verdana"/>
        <family val="2"/>
      </rPr>
      <t>S (mV)</t>
    </r>
  </si>
  <si>
    <r>
      <rPr>
        <b/>
        <sz val="11"/>
        <rFont val="Verdana"/>
        <family val="2"/>
      </rPr>
      <t>Reset Vt Drift</t>
    </r>
    <r>
      <rPr>
        <sz val="11"/>
        <rFont val="Verdana"/>
        <family val="2"/>
      </rPr>
      <t xml:space="preserve"> between min delay after write -&gt; Max delay after write at </t>
    </r>
    <r>
      <rPr>
        <b/>
        <sz val="11"/>
        <rFont val="Verdana"/>
        <family val="2"/>
      </rPr>
      <t xml:space="preserve">time-0 (or 4M NWs) </t>
    </r>
    <r>
      <rPr>
        <sz val="11"/>
        <rFont val="Verdana"/>
        <family val="2"/>
      </rPr>
      <t xml:space="preserve">for 
VDM1/2 </t>
    </r>
    <r>
      <rPr>
        <b/>
        <sz val="11"/>
        <rFont val="Verdana"/>
        <family val="2"/>
      </rPr>
      <t>[1us -&gt; 12hr]</t>
    </r>
    <r>
      <rPr>
        <sz val="11"/>
        <rFont val="Verdana"/>
        <family val="2"/>
      </rPr>
      <t xml:space="preserve"> @ Max Temp [85C] @ ED1 @M3S (mV)</t>
    </r>
  </si>
  <si>
    <r>
      <rPr>
        <b/>
        <sz val="11"/>
        <rFont val="Verdana"/>
        <family val="2"/>
      </rPr>
      <t>Reset Vt Drift</t>
    </r>
    <r>
      <rPr>
        <sz val="11"/>
        <rFont val="Verdana"/>
        <family val="2"/>
      </rPr>
      <t xml:space="preserve"> between min delay after write at </t>
    </r>
    <r>
      <rPr>
        <b/>
        <sz val="11"/>
        <rFont val="Verdana"/>
        <family val="2"/>
      </rPr>
      <t>time-0</t>
    </r>
    <r>
      <rPr>
        <sz val="11"/>
        <rFont val="Verdana"/>
        <family val="2"/>
      </rPr>
      <t xml:space="preserve"> for 
VDM0 -&gt; </t>
    </r>
    <r>
      <rPr>
        <b/>
        <sz val="11"/>
        <rFont val="Verdana"/>
        <family val="2"/>
      </rPr>
      <t>BOL- 5yrs</t>
    </r>
    <r>
      <rPr>
        <sz val="11"/>
        <rFont val="Verdana"/>
        <family val="2"/>
      </rPr>
      <t xml:space="preserve"> @ max shelf temp [40C] 
[equiv: </t>
    </r>
    <r>
      <rPr>
        <b/>
        <sz val="11"/>
        <rFont val="Verdana"/>
        <family val="2"/>
      </rPr>
      <t>1us -&gt; 60hr</t>
    </r>
    <r>
      <rPr>
        <sz val="11"/>
        <rFont val="Verdana"/>
        <family val="2"/>
      </rPr>
      <t>, @85C] @ ED1 @M3S (mV)</t>
    </r>
  </si>
  <si>
    <t>drift3_rst_d(0, 1, 2, 3)</t>
  </si>
  <si>
    <t>slope_drift_d(0, 1, 2, 3)</t>
  </si>
  <si>
    <r>
      <rPr>
        <b/>
        <sz val="11"/>
        <rFont val="Verdana"/>
        <family val="2"/>
      </rPr>
      <t>Set +RD Vt Drift</t>
    </r>
    <r>
      <rPr>
        <sz val="11"/>
        <rFont val="Verdana"/>
        <family val="2"/>
      </rPr>
      <t xml:space="preserve"> between min delay after write -&gt; Max delay after write at </t>
    </r>
    <r>
      <rPr>
        <b/>
        <sz val="11"/>
        <rFont val="Verdana"/>
        <family val="2"/>
      </rPr>
      <t>time-0</t>
    </r>
    <r>
      <rPr>
        <sz val="11"/>
        <rFont val="Verdana"/>
        <family val="2"/>
      </rPr>
      <t xml:space="preserve"> for 
VDM0 </t>
    </r>
    <r>
      <rPr>
        <b/>
        <sz val="11"/>
        <rFont val="Verdana"/>
        <family val="2"/>
      </rPr>
      <t>[1us -&gt; 10s]</t>
    </r>
    <r>
      <rPr>
        <sz val="11"/>
        <rFont val="Verdana"/>
        <family val="2"/>
      </rPr>
      <t xml:space="preserve"> @ Max Temp [85C] @ </t>
    </r>
    <r>
      <rPr>
        <b/>
        <sz val="11"/>
        <rFont val="Verdana"/>
        <family val="2"/>
      </rPr>
      <t>EDrisk</t>
    </r>
    <r>
      <rPr>
        <sz val="11"/>
        <rFont val="Verdana"/>
        <family val="2"/>
      </rPr>
      <t xml:space="preserve"> @M3S (mV)</t>
    </r>
  </si>
  <si>
    <t>drift1_set_d(0, 1, 2, 3)</t>
  </si>
  <si>
    <r>
      <rPr>
        <b/>
        <sz val="11"/>
        <rFont val="Verdana"/>
        <family val="2"/>
      </rPr>
      <t>Set + RD Vt Drift</t>
    </r>
    <r>
      <rPr>
        <sz val="11"/>
        <rFont val="Verdana"/>
        <family val="2"/>
      </rPr>
      <t xml:space="preserve"> between min delay after write -&gt; Max delay after write at </t>
    </r>
    <r>
      <rPr>
        <b/>
        <sz val="11"/>
        <rFont val="Verdana"/>
        <family val="2"/>
      </rPr>
      <t>time-0</t>
    </r>
    <r>
      <rPr>
        <sz val="11"/>
        <rFont val="Verdana"/>
        <family val="2"/>
      </rPr>
      <t xml:space="preserve"> for 
VDM1/2 </t>
    </r>
    <r>
      <rPr>
        <b/>
        <sz val="11"/>
        <rFont val="Verdana"/>
        <family val="2"/>
      </rPr>
      <t xml:space="preserve">[3s -&gt; 12hr] </t>
    </r>
    <r>
      <rPr>
        <sz val="11"/>
        <rFont val="Verdana"/>
        <family val="2"/>
      </rPr>
      <t xml:space="preserve">@ Max Temp [85C] @ </t>
    </r>
    <r>
      <rPr>
        <b/>
        <sz val="11"/>
        <rFont val="Verdana"/>
        <family val="2"/>
      </rPr>
      <t>EDrisk</t>
    </r>
    <r>
      <rPr>
        <sz val="11"/>
        <rFont val="Verdana"/>
        <family val="2"/>
      </rPr>
      <t xml:space="preserve"> @M3S (mV)</t>
    </r>
  </si>
  <si>
    <r>
      <rPr>
        <b/>
        <sz val="11"/>
        <rFont val="Verdana"/>
        <family val="2"/>
      </rPr>
      <t>Set + RD Vt Drift</t>
    </r>
    <r>
      <rPr>
        <sz val="11"/>
        <rFont val="Verdana"/>
        <family val="2"/>
      </rPr>
      <t xml:space="preserve"> between min delay after write for VDM0 -&gt; </t>
    </r>
    <r>
      <rPr>
        <b/>
        <sz val="11"/>
        <rFont val="Verdana"/>
        <family val="2"/>
      </rPr>
      <t>BOL- 5yrs</t>
    </r>
    <r>
      <rPr>
        <sz val="11"/>
        <rFont val="Verdana"/>
        <family val="2"/>
      </rPr>
      <t xml:space="preserve"> @ max shelf temp [40C] 
[equiv: </t>
    </r>
    <r>
      <rPr>
        <b/>
        <sz val="11"/>
        <rFont val="Verdana"/>
        <family val="2"/>
      </rPr>
      <t>1us -&gt; 60hr</t>
    </r>
    <r>
      <rPr>
        <sz val="11"/>
        <rFont val="Verdana"/>
        <family val="2"/>
      </rPr>
      <t xml:space="preserve">, @85C] @ </t>
    </r>
    <r>
      <rPr>
        <b/>
        <sz val="11"/>
        <rFont val="Verdana"/>
        <family val="2"/>
      </rPr>
      <t>EDrisk</t>
    </r>
    <r>
      <rPr>
        <sz val="11"/>
        <rFont val="Verdana"/>
        <family val="2"/>
      </rPr>
      <t xml:space="preserve"> @M3S (mV)</t>
    </r>
  </si>
  <si>
    <t>drift3_set_d(0, 1, 2, 3)</t>
  </si>
  <si>
    <r>
      <rPr>
        <b/>
        <sz val="11"/>
        <rFont val="Verdana"/>
        <family val="2"/>
      </rPr>
      <t>Set +RD Vt Drift</t>
    </r>
    <r>
      <rPr>
        <sz val="11"/>
        <rFont val="Verdana"/>
        <family val="2"/>
      </rPr>
      <t xml:space="preserve"> between min delay after write -&gt; Max delay after write at </t>
    </r>
    <r>
      <rPr>
        <b/>
        <sz val="11"/>
        <rFont val="Verdana"/>
        <family val="2"/>
      </rPr>
      <t>4M NWs</t>
    </r>
    <r>
      <rPr>
        <sz val="11"/>
        <rFont val="Verdana"/>
        <family val="2"/>
      </rPr>
      <t xml:space="preserve"> for 
VDM0 </t>
    </r>
    <r>
      <rPr>
        <b/>
        <sz val="11"/>
        <rFont val="Verdana"/>
        <family val="2"/>
      </rPr>
      <t>[1us -&gt; 10s]</t>
    </r>
    <r>
      <rPr>
        <sz val="11"/>
        <rFont val="Verdana"/>
        <family val="2"/>
      </rPr>
      <t xml:space="preserve"> @ Max Temp [85C] @ ED1 @M3S (mV)</t>
    </r>
  </si>
  <si>
    <r>
      <rPr>
        <b/>
        <sz val="11"/>
        <rFont val="Verdana"/>
        <family val="2"/>
      </rPr>
      <t>Set + RD Vt Drift</t>
    </r>
    <r>
      <rPr>
        <sz val="11"/>
        <rFont val="Verdana"/>
        <family val="2"/>
      </rPr>
      <t xml:space="preserve"> between min delay after write -&gt; Max delay after write at</t>
    </r>
    <r>
      <rPr>
        <b/>
        <sz val="11"/>
        <rFont val="Verdana"/>
        <family val="2"/>
      </rPr>
      <t xml:space="preserve"> 4M NWs</t>
    </r>
    <r>
      <rPr>
        <sz val="11"/>
        <rFont val="Verdana"/>
        <family val="2"/>
      </rPr>
      <t xml:space="preserve"> for 
VDM1/2 </t>
    </r>
    <r>
      <rPr>
        <b/>
        <sz val="11"/>
        <rFont val="Verdana"/>
        <family val="2"/>
      </rPr>
      <t xml:space="preserve">[3s -&gt; 12hr] </t>
    </r>
    <r>
      <rPr>
        <sz val="11"/>
        <rFont val="Verdana"/>
        <family val="2"/>
      </rPr>
      <t>@ Max Temp [85C] @ ED1 @M3S (mV)</t>
    </r>
  </si>
  <si>
    <r>
      <rPr>
        <b/>
        <sz val="11"/>
        <rFont val="Verdana"/>
        <family val="2"/>
      </rPr>
      <t>Set + RD Vt Drift</t>
    </r>
    <r>
      <rPr>
        <sz val="11"/>
        <rFont val="Verdana"/>
        <family val="2"/>
      </rPr>
      <t xml:space="preserve"> between min delay after write for VDM0 -&gt; </t>
    </r>
    <r>
      <rPr>
        <b/>
        <sz val="11"/>
        <rFont val="Verdana"/>
        <family val="2"/>
      </rPr>
      <t>BOL- 5yrs</t>
    </r>
    <r>
      <rPr>
        <sz val="11"/>
        <rFont val="Verdana"/>
        <family val="2"/>
      </rPr>
      <t xml:space="preserve"> @ max shelf temp [40C] 
[equiv: </t>
    </r>
    <r>
      <rPr>
        <b/>
        <sz val="11"/>
        <rFont val="Verdana"/>
        <family val="2"/>
      </rPr>
      <t>1us -&gt; 60hr</t>
    </r>
    <r>
      <rPr>
        <sz val="11"/>
        <rFont val="Verdana"/>
        <family val="2"/>
      </rPr>
      <t xml:space="preserve">, @85C] @ </t>
    </r>
    <r>
      <rPr>
        <b/>
        <sz val="11"/>
        <rFont val="Verdana"/>
        <family val="2"/>
      </rPr>
      <t>ED1</t>
    </r>
    <r>
      <rPr>
        <sz val="11"/>
        <rFont val="Verdana"/>
        <family val="2"/>
      </rPr>
      <t xml:space="preserve"> @M3S (mV)</t>
    </r>
  </si>
  <si>
    <t>Array via resistance (30C) (Ohm/via)
Values for WSiN elim - assume everything matches projection for AV0</t>
  </si>
  <si>
    <t>Median: resav(0, 1, 3, 5, 7), Sigma: sigma_resav(0, 1, 3, 5, 7)</t>
  </si>
  <si>
    <t>Yes: 1.5x S26A data
(via CD only scaling in one direction)
Updated to reflect WSiN elim (match AV1 -&gt; 7 to AV0)</t>
  </si>
  <si>
    <r>
      <t>Array via resistance temperature dependence (</t>
    </r>
    <r>
      <rPr>
        <sz val="11"/>
        <rFont val="Symbol"/>
        <family val="1"/>
        <charset val="2"/>
      </rPr>
      <t>a</t>
    </r>
    <r>
      <rPr>
        <sz val="11"/>
        <rFont val="Verdana"/>
        <family val="2"/>
      </rPr>
      <t>) ( / C)
R = Rref [1+</t>
    </r>
    <r>
      <rPr>
        <sz val="11"/>
        <rFont val="Symbol"/>
        <family val="1"/>
        <charset val="2"/>
      </rPr>
      <t>a</t>
    </r>
    <r>
      <rPr>
        <sz val="11"/>
        <rFont val="Verdana"/>
        <family val="2"/>
      </rPr>
      <t>(T-Tref)] for all vias (WSiN elim)</t>
    </r>
  </si>
  <si>
    <t>tcav(0, 1, 3, 5, 7)</t>
  </si>
  <si>
    <r>
      <rPr>
        <b/>
        <u/>
        <sz val="11"/>
        <color theme="1"/>
        <rFont val="Verdana"/>
        <family val="2"/>
      </rPr>
      <t>Yes: 1.55x of S26A data.</t>
    </r>
    <r>
      <rPr>
        <sz val="11"/>
        <color theme="1"/>
        <rFont val="Verdana"/>
        <family val="2"/>
      </rPr>
      <t xml:space="preserve">
Rho increase 1.3x, 
Pitch shrunk from 41 -&gt; 33.5 nm
Smaller CD: 20.5 -&gt; 14
Total = 1.3* (33.5*20.5)/(41*14) = 1.55x, updated +1 nm low RW</t>
    </r>
  </si>
  <si>
    <t>Median: reswl(1, 2, 3), Sigma: sigma_reswl(1, 2, 3)</t>
  </si>
  <si>
    <r>
      <t>WL resistance temperature dependence (</t>
    </r>
    <r>
      <rPr>
        <sz val="11"/>
        <rFont val="Symbol"/>
        <family val="1"/>
        <charset val="2"/>
      </rPr>
      <t>a</t>
    </r>
    <r>
      <rPr>
        <sz val="11"/>
        <rFont val="Verdana"/>
        <family val="2"/>
      </rPr>
      <t>) ( / C)
R = Rref [1+</t>
    </r>
    <r>
      <rPr>
        <sz val="11"/>
        <rFont val="Symbol"/>
        <family val="1"/>
        <charset val="2"/>
      </rPr>
      <t>a</t>
    </r>
    <r>
      <rPr>
        <sz val="11"/>
        <rFont val="Verdana"/>
        <family val="2"/>
      </rPr>
      <t>(T-Tref)]</t>
    </r>
  </si>
  <si>
    <t>tcwl(1, 2, 3)</t>
  </si>
  <si>
    <t>Median: resbl(1, 2), Sigma: sigma_resbl(1, 2)</t>
  </si>
  <si>
    <r>
      <t>BL resistance temperature dependence (</t>
    </r>
    <r>
      <rPr>
        <sz val="11"/>
        <rFont val="Symbol"/>
        <family val="1"/>
        <charset val="2"/>
      </rPr>
      <t>a</t>
    </r>
    <r>
      <rPr>
        <sz val="11"/>
        <rFont val="Verdana"/>
        <family val="2"/>
      </rPr>
      <t>) ( / C)
R = Rref [1+</t>
    </r>
    <r>
      <rPr>
        <sz val="11"/>
        <rFont val="Symbol"/>
        <family val="1"/>
        <charset val="2"/>
      </rPr>
      <t>a</t>
    </r>
    <r>
      <rPr>
        <sz val="11"/>
        <rFont val="Verdana"/>
        <family val="2"/>
      </rPr>
      <t>(T-Tref)]</t>
    </r>
  </si>
  <si>
    <t>tcbl(1, 2)</t>
  </si>
  <si>
    <t>Median: capwl(1, 2, 3), Sigma: sigma_capwl(1, 2, 3)</t>
  </si>
  <si>
    <r>
      <rPr>
        <b/>
        <u/>
        <sz val="11"/>
        <color theme="1"/>
        <rFont val="Verdana"/>
        <family val="2"/>
      </rPr>
      <t xml:space="preserve">Yes: 0.86x of S26A
</t>
    </r>
    <r>
      <rPr>
        <sz val="11"/>
        <color theme="1"/>
        <rFont val="Verdana"/>
        <family val="2"/>
      </rPr>
      <t>Pitch shrunk from 41 nm -&gt; 33.5 nm
Space reduced from 20.5 -&gt; 19.5 nm
(33.5*20.5)/(41*19.5) = 0.86
Corrected for parasitic cap normalization, updated +1 nm low RW</t>
    </r>
  </si>
  <si>
    <t>Median: capbl(1, 2), Sigma: sigma_capbl(1, 2)</t>
  </si>
  <si>
    <t>Median: capdeck(0, 1, 2, 3), Sigma: sigma_capdeck(0, 1, 2, 3)</t>
  </si>
  <si>
    <t>Yes: 0.5x of S26A (area scaling)
Corrected for parasitic cap normalization</t>
  </si>
  <si>
    <t xml:space="preserve"> 9.3 V @ 85C 
with 100% 
unfired cells</t>
  </si>
  <si>
    <t xml:space="preserve">Maximum Vt in customer operation, @Max Temp (V)
rst VT ED1 + sigma*3.54 +xitle + 60hr rst drift </t>
  </si>
  <si>
    <t>Rational</t>
  </si>
  <si>
    <t>Scaling applied (ATF Comment + BWF Comment)</t>
  </si>
  <si>
    <r>
      <rPr>
        <b/>
        <u/>
        <sz val="11"/>
        <color theme="1"/>
        <rFont val="Verdana"/>
        <family val="2"/>
      </rPr>
      <t>Yes: 1.55x of S26A data.</t>
    </r>
    <r>
      <rPr>
        <sz val="11"/>
        <color theme="1"/>
        <rFont val="Verdana"/>
        <family val="2"/>
      </rPr>
      <t xml:space="preserve">
Rho increase 1.3x, 
Pitch shrunk from 41 -&gt; 33.5 nm
Smaller CD: 20.5 -&gt; 14
Total = 1.3* (33.5*20.5)/(41*14) = 1.55x, updated +1 nm low RW
</t>
    </r>
    <r>
      <rPr>
        <b/>
        <sz val="11"/>
        <color theme="1"/>
        <rFont val="Verdana"/>
        <family val="2"/>
      </rPr>
      <t>1.0185x increase for W deposited on WSix, 0.95x for e-test to array offset for all W lines</t>
    </r>
  </si>
  <si>
    <t>WL14:1.7E-3 /C
WL23:1.1e-3/C</t>
  </si>
  <si>
    <r>
      <rPr>
        <b/>
        <u/>
        <sz val="11"/>
        <color theme="1"/>
        <rFont val="Verdana"/>
        <family val="2"/>
      </rPr>
      <t>Yes: 1.55x of S26A data.</t>
    </r>
    <r>
      <rPr>
        <sz val="11"/>
        <color theme="1"/>
        <rFont val="Verdana"/>
        <family val="2"/>
      </rPr>
      <t xml:space="preserve">
Rho increase 1.3x, 
Pitch shrunk from 41 -&gt; 33.5 nm
Smaller CD: 20.5 -&gt; 14
Total = 1.3* (33.5*20.5)/(41*14) = 1.55x, updated +1 nm low RW
</t>
    </r>
    <r>
      <rPr>
        <b/>
        <sz val="11"/>
        <color theme="1"/>
        <rFont val="Verdana"/>
        <family val="2"/>
      </rPr>
      <t>1.0185x increase for W deposited on WSix, 0.95x for e-test to array offset</t>
    </r>
  </si>
  <si>
    <t>BL12/BL23: 1.3E-3/1.7E-3/C</t>
  </si>
  <si>
    <t>Rpath = WL dec dist* WL res + BL res + Via res + Rperiph</t>
  </si>
  <si>
    <t>Vhold = 2.42+1.21e-5*Rpath - 0.018* (T-85)</t>
  </si>
  <si>
    <t>Vhold_post = Vhold_pre -0.2 uA</t>
  </si>
  <si>
    <t>BWF' Speculative
 Median Die</t>
  </si>
  <si>
    <t>AV0: 915 Ω/Via
AV1, 3, 5: 1373 Ω/Via
AV7: 1823 Ω/Via</t>
  </si>
  <si>
    <t>AV0, 1, 3, 5: 75 Ω/Via
AV7: 110 Ω/Via</t>
  </si>
  <si>
    <r>
      <t xml:space="preserve">Yes: 1.5x S26A data
(via CD only scaling in one direction)
</t>
    </r>
    <r>
      <rPr>
        <b/>
        <sz val="11"/>
        <color theme="1"/>
        <rFont val="Verdana"/>
        <family val="2"/>
      </rPr>
      <t>Updated to reflect WSiX insertion (1.5x increase in resistance in AV1, AV7 increased by 458 Ohms )</t>
    </r>
  </si>
  <si>
    <t>Scaled w/ MTS</t>
  </si>
  <si>
    <t>MAX</t>
  </si>
  <si>
    <t>DE</t>
  </si>
  <si>
    <r>
      <rPr>
        <b/>
        <u/>
        <sz val="11"/>
        <color theme="1"/>
        <rFont val="Verdana"/>
        <family val="2"/>
      </rPr>
      <t xml:space="preserve">ATF: Yes: S26A lkg*0.5*1.33
</t>
    </r>
    <r>
      <rPr>
        <sz val="11"/>
        <color theme="1"/>
        <rFont val="Verdana"/>
        <family val="2"/>
      </rPr>
      <t xml:space="preserve">(Area scaled by 0.5x
1.33x GB assumed)
</t>
    </r>
    <r>
      <rPr>
        <b/>
        <sz val="11"/>
        <color theme="1"/>
        <rFont val="Verdana"/>
        <family val="2"/>
      </rPr>
      <t>BWF: Yes: ~ATF lkg*</t>
    </r>
    <r>
      <rPr>
        <sz val="11"/>
        <color theme="1"/>
        <rFont val="Verdana"/>
        <family val="2"/>
      </rPr>
      <t>0.93</t>
    </r>
  </si>
  <si>
    <t>Scaling apply</t>
  </si>
  <si>
    <t>Ihold = 18.51-0.000103* Rpath - 0.0018* (T-85)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</si>
</sst>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BF8F00"/>
      <name val="Calibri"/>
      <family val="2"/>
      <scheme val="minor"/>
    </font>
    <font>
      <b/>
      <u/>
      <sz val="11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rgb="FF000000"/>
      <name val="Verdana"/>
      <family val="2"/>
    </font>
    <font>
      <sz val="11"/>
      <color rgb="FFFF0000"/>
      <name val="Verdana"/>
      <family val="2"/>
    </font>
    <font>
      <sz val="11"/>
      <color rgb="FFBF8F00"/>
      <name val="Verdana"/>
      <family val="2"/>
    </font>
    <font>
      <sz val="11"/>
      <color rgb="FF00B050"/>
      <name val="Verdana"/>
      <family val="2"/>
    </font>
    <font>
      <sz val="11"/>
      <name val="Calibri"/>
      <family val="2"/>
    </font>
    <font>
      <sz val="7.7"/>
      <name val="Verdana"/>
      <family val="2"/>
    </font>
    <font>
      <b/>
      <i/>
      <sz val="11"/>
      <name val="Verdana"/>
      <family val="2"/>
    </font>
    <font>
      <sz val="11"/>
      <name val="Symbol"/>
      <family val="1"/>
      <charset val="2"/>
    </font>
    <font>
      <sz val="10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u/>
      <sz val="11"/>
      <color theme="1"/>
      <name val="Verdana"/>
      <family val="2"/>
    </font>
    <font>
      <b/>
      <sz val="11"/>
      <color rgb="FFFF0000"/>
      <name val="Verdana"/>
      <family val="2"/>
    </font>
    <font>
      <b/>
      <sz val="11"/>
      <color rgb="FFBF8F00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70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6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vertical="center" wrapText="1"/>
    </xf>
    <xf numFmtId="0" fontId="17" fillId="0" borderId="1" xfId="0" applyFont="1" applyBorder="1" applyAlignment="1">
      <alignment horizontal="center" vertical="top"/>
    </xf>
    <xf numFmtId="0" fontId="17" fillId="0" borderId="8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1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2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1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/>
    </xf>
    <xf numFmtId="0" fontId="6" fillId="0" borderId="6" xfId="1" applyFont="1" applyBorder="1" applyAlignment="1">
      <alignment vertical="center" wrapText="1"/>
    </xf>
    <xf numFmtId="0" fontId="6" fillId="0" borderId="6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vertical="center" wrapText="1"/>
    </xf>
    <xf numFmtId="164" fontId="6" fillId="0" borderId="6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164" fontId="6" fillId="0" borderId="1" xfId="0" quotePrefix="1" applyNumberFormat="1" applyFont="1" applyBorder="1" applyAlignment="1">
      <alignment horizontal="center" vertical="center"/>
    </xf>
    <xf numFmtId="164" fontId="17" fillId="0" borderId="1" xfId="0" quotePrefix="1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0" fontId="10" fillId="0" borderId="6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left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6" xfId="0" applyFont="1" applyBorder="1" applyAlignment="1">
      <alignment vertical="center"/>
    </xf>
    <xf numFmtId="2" fontId="17" fillId="0" borderId="1" xfId="0" applyNumberFormat="1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6" fillId="0" borderId="19" xfId="1" applyFont="1" applyBorder="1" applyAlignment="1">
      <alignment vertical="center" wrapText="1"/>
    </xf>
    <xf numFmtId="0" fontId="10" fillId="0" borderId="19" xfId="1" applyFont="1" applyBorder="1" applyAlignment="1">
      <alignment vertical="center" wrapText="1"/>
    </xf>
    <xf numFmtId="164" fontId="6" fillId="0" borderId="20" xfId="1" applyNumberFormat="1" applyFont="1" applyBorder="1" applyAlignment="1">
      <alignment horizontal="center" vertical="center" wrapText="1"/>
    </xf>
    <xf numFmtId="0" fontId="6" fillId="0" borderId="20" xfId="1" applyFont="1" applyBorder="1" applyAlignment="1">
      <alignment vertical="center" wrapText="1"/>
    </xf>
    <xf numFmtId="0" fontId="9" fillId="0" borderId="19" xfId="1" applyFont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top"/>
    </xf>
    <xf numFmtId="164" fontId="16" fillId="0" borderId="1" xfId="0" applyNumberFormat="1" applyFont="1" applyBorder="1" applyAlignment="1">
      <alignment horizontal="center" vertical="center"/>
    </xf>
    <xf numFmtId="0" fontId="5" fillId="0" borderId="18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6" fillId="0" borderId="2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vertical="center" wrapText="1"/>
    </xf>
    <xf numFmtId="0" fontId="10" fillId="0" borderId="6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6" fillId="0" borderId="11" xfId="1" applyFont="1" applyBorder="1" applyAlignment="1">
      <alignment vertical="center" wrapText="1"/>
    </xf>
    <xf numFmtId="0" fontId="6" fillId="0" borderId="10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wrapText="1"/>
    </xf>
    <xf numFmtId="0" fontId="6" fillId="0" borderId="6" xfId="1" applyFont="1" applyBorder="1" applyAlignment="1">
      <alignment wrapText="1"/>
    </xf>
    <xf numFmtId="0" fontId="17" fillId="0" borderId="0" xfId="0" applyFont="1" applyAlignment="1">
      <alignment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8" xfId="0" applyFont="1" applyBorder="1" applyAlignment="1">
      <alignment vertical="center"/>
    </xf>
    <xf numFmtId="0" fontId="10" fillId="0" borderId="3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3" xfId="1" xr:uid="{D99EBFC4-B613-43D8-B58B-62E661145C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1001245</xdr:colOff>
      <xdr:row>7</xdr:row>
      <xdr:rowOff>28575</xdr:rowOff>
    </xdr:from>
    <xdr:to>
      <xdr:col>6</xdr:col>
      <xdr:colOff>1557617</xdr:colOff>
      <xdr:row>8</xdr:row>
      <xdr:rowOff>1681</xdr:rowOff>
    </xdr:to>
    <xdr:pic>
      <xdr:nvPicPr>
        <xdr:cNvPr id="2" name="Picture 1" descr="I=(V/(V_th×ρ_1 )∙e^(V/(V_th∙σ))+V/(V_th×ρ_2 )∙e^(V/(V_th∙β)))*prefactor">
          <a:extLst>
            <a:ext uri="{FF2B5EF4-FFF2-40B4-BE49-F238E27FC236}">
              <a16:creationId xmlns:a16="http://schemas.microsoft.com/office/drawing/2014/main" id="{5551BB84-FEAD-4F5E-8F09-417BBA16D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1569" y="1653428"/>
          <a:ext cx="3111313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7</xdr:row>
      <xdr:rowOff>28575</xdr:rowOff>
    </xdr:from>
    <xdr:to>
      <xdr:col>7</xdr:col>
      <xdr:colOff>0</xdr:colOff>
      <xdr:row>7</xdr:row>
      <xdr:rowOff>476250</xdr:rowOff>
    </xdr:to>
    <xdr:pic>
      <xdr:nvPicPr>
        <xdr:cNvPr id="2" name="Picture 1" descr="I=(V/(V_th×ρ_1 )∙e^(V/(V_th∙σ))+V/(V_th×ρ_2 )∙e^(V/(V_th∙β)))*prefactor">
          <a:extLst>
            <a:ext uri="{FF2B5EF4-FFF2-40B4-BE49-F238E27FC236}">
              <a16:creationId xmlns:a16="http://schemas.microsoft.com/office/drawing/2014/main" id="{92C457A2-F8C6-4EA7-82B3-1D517ED89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2019300"/>
          <a:ext cx="31146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35722-DD8D-4C95-B85C-F4D70BAE6ACD}">
  <dimension ref="A1:H144"/>
  <sheetViews>
    <sheetView tabSelected="1" zoomScaleNormal="100" workbookViewId="0">
      <pane xSplit="2" ySplit="2" topLeftCell="C126" activePane="bottomRight" state="frozen"/>
      <selection pane="topRight" activeCell="C1" sqref="C1"/>
      <selection pane="bottomLeft" activeCell="A3" sqref="A3"/>
      <selection pane="bottomRight" activeCell="A129" sqref="A129"/>
    </sheetView>
  </sheetViews>
  <sheetFormatPr baseColWidth="10" defaultColWidth="8.83203125" defaultRowHeight="14" x14ac:dyDescent="0.2"/>
  <cols>
    <col min="1" max="1" width="81.6640625" style="54" customWidth="1"/>
    <col min="2" max="2" width="46" style="54" hidden="1" customWidth="1"/>
    <col min="3" max="3" width="35" style="119" customWidth="1"/>
    <col min="4" max="5" width="19.1640625" style="62" bestFit="1" customWidth="1"/>
    <col min="6" max="6" width="25.83203125" style="62" bestFit="1" customWidth="1"/>
    <col min="7" max="7" width="20.1640625" style="62" bestFit="1" customWidth="1"/>
    <col min="8" max="8" width="77.5" style="32" bestFit="1" customWidth="1"/>
    <col min="9" max="16384" width="8.83203125" style="32"/>
  </cols>
  <sheetData>
    <row r="1" spans="1:8" ht="31" thickBot="1" x14ac:dyDescent="0.25">
      <c r="A1" s="28" t="s">
        <v>6</v>
      </c>
      <c r="B1" s="29" t="s">
        <v>156</v>
      </c>
      <c r="C1" s="105" t="s">
        <v>230</v>
      </c>
      <c r="D1" s="30" t="s">
        <v>157</v>
      </c>
      <c r="E1" s="30" t="s">
        <v>239</v>
      </c>
      <c r="F1" s="30" t="s">
        <v>158</v>
      </c>
      <c r="G1" s="30" t="s">
        <v>159</v>
      </c>
      <c r="H1" s="31" t="s">
        <v>231</v>
      </c>
    </row>
    <row r="2" spans="1:8" ht="15" thickBot="1" x14ac:dyDescent="0.25">
      <c r="A2" s="141" t="s">
        <v>8</v>
      </c>
      <c r="B2" s="142"/>
      <c r="C2" s="142"/>
      <c r="D2" s="142"/>
      <c r="E2" s="142"/>
      <c r="F2" s="142"/>
      <c r="G2" s="142"/>
      <c r="H2" s="143"/>
    </row>
    <row r="3" spans="1:8" ht="14" customHeight="1" x14ac:dyDescent="0.2">
      <c r="A3" s="33" t="s">
        <v>9</v>
      </c>
      <c r="B3" s="33"/>
      <c r="C3" s="106" t="s">
        <v>10</v>
      </c>
      <c r="D3" s="95">
        <f>E3*0.93</f>
        <v>10.811250000000001</v>
      </c>
      <c r="E3" s="95">
        <f>F3*0.93</f>
        <v>11.625</v>
      </c>
      <c r="F3" s="35">
        <f>5*2.5</f>
        <v>12.5</v>
      </c>
      <c r="G3" s="35">
        <f>0.3*2.5</f>
        <v>0.75</v>
      </c>
      <c r="H3" s="159" t="s">
        <v>246</v>
      </c>
    </row>
    <row r="4" spans="1:8" ht="15" x14ac:dyDescent="0.2">
      <c r="A4" s="36" t="s">
        <v>11</v>
      </c>
      <c r="B4" s="36"/>
      <c r="C4" s="106" t="s">
        <v>10</v>
      </c>
      <c r="D4" s="95">
        <f t="shared" ref="D4:E7" si="0">E4*0.93</f>
        <v>5.4056250000000006</v>
      </c>
      <c r="E4" s="95">
        <f t="shared" si="0"/>
        <v>5.8125</v>
      </c>
      <c r="F4" s="37">
        <f>2.5*2.5</f>
        <v>6.25</v>
      </c>
      <c r="G4" s="37">
        <f>0.2*2.5</f>
        <v>0.5</v>
      </c>
      <c r="H4" s="160"/>
    </row>
    <row r="5" spans="1:8" ht="15" x14ac:dyDescent="0.2">
      <c r="A5" s="36" t="s">
        <v>12</v>
      </c>
      <c r="B5" s="36"/>
      <c r="C5" s="107" t="s">
        <v>10</v>
      </c>
      <c r="D5" s="94">
        <f t="shared" si="0"/>
        <v>1.3622175000000001</v>
      </c>
      <c r="E5" s="94">
        <f t="shared" si="0"/>
        <v>1.46475</v>
      </c>
      <c r="F5" s="93">
        <f>0.63*2.5</f>
        <v>1.575</v>
      </c>
      <c r="G5" s="37">
        <f>0.08*2.5</f>
        <v>0.2</v>
      </c>
      <c r="H5" s="160"/>
    </row>
    <row r="6" spans="1:8" ht="15" x14ac:dyDescent="0.2">
      <c r="A6" s="36" t="s">
        <v>13</v>
      </c>
      <c r="B6" s="36"/>
      <c r="C6" s="107" t="s">
        <v>10</v>
      </c>
      <c r="D6" s="94">
        <f t="shared" si="0"/>
        <v>8.6490000000000009</v>
      </c>
      <c r="E6" s="94">
        <f t="shared" si="0"/>
        <v>9.3000000000000007</v>
      </c>
      <c r="F6" s="93">
        <f>4*2.5</f>
        <v>10</v>
      </c>
      <c r="G6" s="37">
        <f>0.5*2.5</f>
        <v>1.25</v>
      </c>
      <c r="H6" s="160"/>
    </row>
    <row r="7" spans="1:8" ht="15" x14ac:dyDescent="0.2">
      <c r="A7" s="36" t="s">
        <v>14</v>
      </c>
      <c r="B7" s="36"/>
      <c r="C7" s="107" t="s">
        <v>10</v>
      </c>
      <c r="D7" s="94">
        <f t="shared" si="0"/>
        <v>3.0271500000000007</v>
      </c>
      <c r="E7" s="94">
        <f t="shared" si="0"/>
        <v>3.2550000000000003</v>
      </c>
      <c r="F7" s="93">
        <f>1.4*2.5</f>
        <v>3.5</v>
      </c>
      <c r="G7" s="37">
        <v>0.1</v>
      </c>
      <c r="H7" s="160"/>
    </row>
    <row r="8" spans="1:8" ht="15" x14ac:dyDescent="0.2">
      <c r="A8" s="36" t="s">
        <v>15</v>
      </c>
      <c r="B8" s="38"/>
      <c r="C8" s="108" t="s">
        <v>16</v>
      </c>
      <c r="D8" s="65"/>
      <c r="E8" s="154"/>
      <c r="F8" s="155"/>
      <c r="G8" s="156"/>
      <c r="H8" s="160"/>
    </row>
    <row r="9" spans="1:8" ht="15" x14ac:dyDescent="0.2">
      <c r="A9" s="36" t="s">
        <v>17</v>
      </c>
      <c r="B9" s="38"/>
      <c r="C9" s="109" t="s">
        <v>16</v>
      </c>
      <c r="D9" s="67">
        <f>1.136*2.5</f>
        <v>2.84</v>
      </c>
      <c r="E9" s="67">
        <f>1.136*2.5</f>
        <v>2.84</v>
      </c>
      <c r="F9" s="93">
        <f>1.136*2.5</f>
        <v>2.84</v>
      </c>
      <c r="G9" s="42" t="s">
        <v>18</v>
      </c>
      <c r="H9" s="160"/>
    </row>
    <row r="10" spans="1:8" ht="15" x14ac:dyDescent="0.2">
      <c r="A10" s="36" t="s">
        <v>19</v>
      </c>
      <c r="B10" s="38"/>
      <c r="C10" s="109" t="s">
        <v>16</v>
      </c>
      <c r="D10" s="67">
        <f>7.021*2.5</f>
        <v>17.552499999999998</v>
      </c>
      <c r="E10" s="67">
        <f>7.021*2.5</f>
        <v>17.552499999999998</v>
      </c>
      <c r="F10" s="93">
        <f>7.021*2.5</f>
        <v>17.552499999999998</v>
      </c>
      <c r="G10" s="42" t="s">
        <v>18</v>
      </c>
      <c r="H10" s="160"/>
    </row>
    <row r="11" spans="1:8" ht="15" x14ac:dyDescent="0.2">
      <c r="A11" s="36" t="s">
        <v>20</v>
      </c>
      <c r="B11" s="36"/>
      <c r="C11" s="107" t="s">
        <v>10</v>
      </c>
      <c r="D11" s="94">
        <f>E11*0.93</f>
        <v>2345608800000</v>
      </c>
      <c r="E11" s="94">
        <f>F11*0.93</f>
        <v>2522160000000</v>
      </c>
      <c r="F11" s="93">
        <v>2712000000000</v>
      </c>
      <c r="G11" s="37" t="s">
        <v>18</v>
      </c>
      <c r="H11" s="160"/>
    </row>
    <row r="12" spans="1:8" ht="15" x14ac:dyDescent="0.2">
      <c r="A12" s="36" t="s">
        <v>21</v>
      </c>
      <c r="B12" s="36"/>
      <c r="C12" s="106" t="s">
        <v>10</v>
      </c>
      <c r="D12" s="94">
        <f>E12*0.93</f>
        <v>90814500000000</v>
      </c>
      <c r="E12" s="94">
        <f>F12*0.93</f>
        <v>97650000000000</v>
      </c>
      <c r="F12" s="37">
        <v>105000000000000</v>
      </c>
      <c r="G12" s="37" t="s">
        <v>18</v>
      </c>
      <c r="H12" s="160"/>
    </row>
    <row r="13" spans="1:8" ht="15" x14ac:dyDescent="0.2">
      <c r="A13" s="36" t="s">
        <v>22</v>
      </c>
      <c r="B13" s="36"/>
      <c r="C13" s="108" t="s">
        <v>16</v>
      </c>
      <c r="D13" s="67">
        <v>0.1157</v>
      </c>
      <c r="E13" s="37">
        <v>0.1157</v>
      </c>
      <c r="F13" s="37">
        <v>0.1157</v>
      </c>
      <c r="G13" s="37" t="s">
        <v>18</v>
      </c>
      <c r="H13" s="160"/>
    </row>
    <row r="14" spans="1:8" ht="16" thickBot="1" x14ac:dyDescent="0.25">
      <c r="A14" s="43" t="s">
        <v>23</v>
      </c>
      <c r="B14" s="43"/>
      <c r="C14" s="36" t="s">
        <v>16</v>
      </c>
      <c r="D14" s="42">
        <v>6.0539999999999997E-2</v>
      </c>
      <c r="E14" s="42">
        <v>6.0539999999999997E-2</v>
      </c>
      <c r="F14" s="42">
        <v>6.0539999999999997E-2</v>
      </c>
      <c r="G14" s="42" t="s">
        <v>18</v>
      </c>
      <c r="H14" s="161"/>
    </row>
    <row r="15" spans="1:8" ht="15" thickBot="1" x14ac:dyDescent="0.25">
      <c r="A15" s="141" t="s">
        <v>24</v>
      </c>
      <c r="B15" s="142"/>
      <c r="C15" s="142"/>
      <c r="D15" s="142"/>
      <c r="E15" s="142"/>
      <c r="F15" s="142"/>
      <c r="G15" s="142"/>
      <c r="H15" s="143"/>
    </row>
    <row r="16" spans="1:8" ht="27.5" customHeight="1" x14ac:dyDescent="0.2">
      <c r="A16" s="33" t="s">
        <v>25</v>
      </c>
      <c r="B16" s="25" t="s">
        <v>161</v>
      </c>
      <c r="C16" s="110" t="s">
        <v>16</v>
      </c>
      <c r="D16" s="45">
        <v>4467</v>
      </c>
      <c r="E16" s="45">
        <v>4467</v>
      </c>
      <c r="F16" s="45">
        <v>4467</v>
      </c>
      <c r="G16" s="45">
        <v>43</v>
      </c>
      <c r="H16" s="46" t="s">
        <v>26</v>
      </c>
    </row>
    <row r="17" spans="1:8" ht="15" x14ac:dyDescent="0.2">
      <c r="A17" s="36" t="s">
        <v>27</v>
      </c>
      <c r="B17" s="47" t="s">
        <v>162</v>
      </c>
      <c r="C17" s="111" t="s">
        <v>16</v>
      </c>
      <c r="D17" s="67">
        <v>-5.5</v>
      </c>
      <c r="E17" s="37">
        <v>-5.5</v>
      </c>
      <c r="F17" s="37">
        <v>-5.5</v>
      </c>
      <c r="G17" s="37">
        <v>0.53</v>
      </c>
      <c r="H17" s="46"/>
    </row>
    <row r="18" spans="1:8" ht="15" x14ac:dyDescent="0.2">
      <c r="A18" s="36" t="s">
        <v>28</v>
      </c>
      <c r="B18" s="47" t="s">
        <v>163</v>
      </c>
      <c r="C18" s="111" t="s">
        <v>16</v>
      </c>
      <c r="D18" s="67">
        <v>95.9</v>
      </c>
      <c r="E18" s="37">
        <v>95.9</v>
      </c>
      <c r="F18" s="37">
        <v>95.9</v>
      </c>
      <c r="G18" s="37">
        <v>2.6</v>
      </c>
      <c r="H18" s="46"/>
    </row>
    <row r="19" spans="1:8" ht="15" x14ac:dyDescent="0.2">
      <c r="A19" s="36" t="s">
        <v>29</v>
      </c>
      <c r="B19" s="47" t="s">
        <v>164</v>
      </c>
      <c r="C19" s="111" t="s">
        <v>16</v>
      </c>
      <c r="D19" s="12">
        <v>0</v>
      </c>
      <c r="E19" s="12">
        <v>0</v>
      </c>
      <c r="F19" s="12">
        <v>0</v>
      </c>
      <c r="G19" s="37" t="s">
        <v>18</v>
      </c>
      <c r="H19" s="46"/>
    </row>
    <row r="20" spans="1:8" ht="15" x14ac:dyDescent="0.2">
      <c r="A20" s="36" t="s">
        <v>30</v>
      </c>
      <c r="B20" s="47" t="s">
        <v>165</v>
      </c>
      <c r="C20" s="112" t="s">
        <v>16</v>
      </c>
      <c r="D20" s="67">
        <v>51.1</v>
      </c>
      <c r="E20" s="37">
        <v>51.1</v>
      </c>
      <c r="F20" s="37">
        <v>51.1</v>
      </c>
      <c r="G20" s="37">
        <v>9.4</v>
      </c>
      <c r="H20" s="46"/>
    </row>
    <row r="21" spans="1:8" ht="15" x14ac:dyDescent="0.2">
      <c r="A21" s="36" t="s">
        <v>31</v>
      </c>
      <c r="B21" s="47"/>
      <c r="C21" s="112" t="s">
        <v>16</v>
      </c>
      <c r="D21" s="67">
        <v>58</v>
      </c>
      <c r="E21" s="37">
        <v>58</v>
      </c>
      <c r="F21" s="37">
        <v>58</v>
      </c>
      <c r="G21" s="37">
        <v>11</v>
      </c>
      <c r="H21" s="160" t="s">
        <v>166</v>
      </c>
    </row>
    <row r="22" spans="1:8" ht="15" x14ac:dyDescent="0.2">
      <c r="A22" s="36" t="s">
        <v>32</v>
      </c>
      <c r="B22" s="48"/>
      <c r="C22" s="112" t="s">
        <v>16</v>
      </c>
      <c r="D22" s="67">
        <v>82</v>
      </c>
      <c r="E22" s="37">
        <v>82</v>
      </c>
      <c r="F22" s="37">
        <v>82</v>
      </c>
      <c r="G22" s="37">
        <v>21</v>
      </c>
      <c r="H22" s="162"/>
    </row>
    <row r="23" spans="1:8" ht="15" x14ac:dyDescent="0.2">
      <c r="A23" s="36" t="s">
        <v>33</v>
      </c>
      <c r="B23" s="48"/>
      <c r="C23" s="112" t="s">
        <v>16</v>
      </c>
      <c r="D23" s="67">
        <v>0.18</v>
      </c>
      <c r="E23" s="37">
        <v>0.18</v>
      </c>
      <c r="F23" s="37">
        <v>0.18</v>
      </c>
      <c r="G23" s="37" t="s">
        <v>34</v>
      </c>
      <c r="H23" s="162"/>
    </row>
    <row r="24" spans="1:8" ht="15" x14ac:dyDescent="0.2">
      <c r="A24" s="36" t="s">
        <v>35</v>
      </c>
      <c r="B24" s="48"/>
      <c r="C24" s="111" t="s">
        <v>16</v>
      </c>
      <c r="D24" s="67">
        <v>42</v>
      </c>
      <c r="E24" s="37">
        <v>42</v>
      </c>
      <c r="F24" s="37">
        <v>42</v>
      </c>
      <c r="G24" s="37">
        <v>12</v>
      </c>
      <c r="H24" s="162"/>
    </row>
    <row r="25" spans="1:8" ht="15" x14ac:dyDescent="0.2">
      <c r="A25" s="36" t="s">
        <v>36</v>
      </c>
      <c r="B25" s="48"/>
      <c r="C25" s="111" t="s">
        <v>16</v>
      </c>
      <c r="D25" s="67">
        <v>80</v>
      </c>
      <c r="E25" s="37">
        <v>80</v>
      </c>
      <c r="F25" s="37">
        <v>80</v>
      </c>
      <c r="G25" s="37">
        <v>10</v>
      </c>
      <c r="H25" s="162"/>
    </row>
    <row r="26" spans="1:8" ht="15" x14ac:dyDescent="0.2">
      <c r="A26" s="43" t="s">
        <v>37</v>
      </c>
      <c r="B26" s="133" t="s">
        <v>167</v>
      </c>
      <c r="C26" s="113" t="s">
        <v>16</v>
      </c>
      <c r="D26" s="49">
        <v>17.350000000000001</v>
      </c>
      <c r="E26" s="49">
        <v>17.350000000000001</v>
      </c>
      <c r="F26" s="49">
        <v>17.350000000000001</v>
      </c>
      <c r="G26" s="49">
        <v>0.68399999999999994</v>
      </c>
      <c r="H26" s="50"/>
    </row>
    <row r="27" spans="1:8" ht="15" x14ac:dyDescent="0.2">
      <c r="A27" s="43" t="s">
        <v>38</v>
      </c>
      <c r="B27" s="163"/>
      <c r="C27" s="114" t="s">
        <v>16</v>
      </c>
      <c r="D27" s="49">
        <v>15.49</v>
      </c>
      <c r="E27" s="49">
        <v>15.49</v>
      </c>
      <c r="F27" s="49">
        <v>15.49</v>
      </c>
      <c r="G27" s="49">
        <v>0.68399999999999994</v>
      </c>
      <c r="H27" s="50"/>
    </row>
    <row r="28" spans="1:8" ht="15" x14ac:dyDescent="0.2">
      <c r="A28" s="43" t="s">
        <v>39</v>
      </c>
      <c r="B28" s="163"/>
      <c r="C28" s="114" t="s">
        <v>16</v>
      </c>
      <c r="D28" s="49">
        <v>15.49</v>
      </c>
      <c r="E28" s="49">
        <v>15.49</v>
      </c>
      <c r="F28" s="49">
        <v>15.49</v>
      </c>
      <c r="G28" s="49">
        <v>0.68399999999999994</v>
      </c>
      <c r="H28" s="50"/>
    </row>
    <row r="29" spans="1:8" ht="15" x14ac:dyDescent="0.2">
      <c r="A29" s="43" t="s">
        <v>40</v>
      </c>
      <c r="B29" s="134"/>
      <c r="C29" s="114" t="s">
        <v>16</v>
      </c>
      <c r="D29" s="49">
        <v>16.494</v>
      </c>
      <c r="E29" s="49">
        <v>16.494</v>
      </c>
      <c r="F29" s="49">
        <v>16.494</v>
      </c>
      <c r="G29" s="49">
        <v>0.20400000000000001</v>
      </c>
      <c r="H29" s="50"/>
    </row>
    <row r="30" spans="1:8" ht="15" customHeight="1" x14ac:dyDescent="0.2">
      <c r="A30" s="43" t="s">
        <v>41</v>
      </c>
      <c r="B30" s="133" t="s">
        <v>168</v>
      </c>
      <c r="C30" s="113" t="s">
        <v>16</v>
      </c>
      <c r="D30" s="49">
        <v>17.350000000000001</v>
      </c>
      <c r="E30" s="49">
        <v>17.350000000000001</v>
      </c>
      <c r="F30" s="49">
        <v>17.350000000000001</v>
      </c>
      <c r="G30" s="49">
        <v>0.68399999999999994</v>
      </c>
      <c r="H30" s="50"/>
    </row>
    <row r="31" spans="1:8" ht="15" customHeight="1" x14ac:dyDescent="0.2">
      <c r="A31" s="43" t="s">
        <v>42</v>
      </c>
      <c r="B31" s="163"/>
      <c r="C31" s="113" t="s">
        <v>16</v>
      </c>
      <c r="D31" s="49">
        <v>15.49</v>
      </c>
      <c r="E31" s="49">
        <v>15.49</v>
      </c>
      <c r="F31" s="49">
        <v>15.49</v>
      </c>
      <c r="G31" s="49">
        <v>0.68399999999999994</v>
      </c>
      <c r="H31" s="50"/>
    </row>
    <row r="32" spans="1:8" ht="15" customHeight="1" x14ac:dyDescent="0.2">
      <c r="A32" s="43" t="s">
        <v>43</v>
      </c>
      <c r="B32" s="163"/>
      <c r="C32" s="114" t="s">
        <v>16</v>
      </c>
      <c r="D32" s="49">
        <v>15.49</v>
      </c>
      <c r="E32" s="49">
        <v>15.49</v>
      </c>
      <c r="F32" s="49">
        <v>15.49</v>
      </c>
      <c r="G32" s="49">
        <v>0.68399999999999994</v>
      </c>
      <c r="H32" s="50"/>
    </row>
    <row r="33" spans="1:8" ht="15" x14ac:dyDescent="0.2">
      <c r="A33" s="43" t="s">
        <v>44</v>
      </c>
      <c r="B33" s="163"/>
      <c r="C33" s="114" t="s">
        <v>16</v>
      </c>
      <c r="D33" s="49">
        <v>35.299999999999997</v>
      </c>
      <c r="E33" s="49">
        <v>35.299999999999997</v>
      </c>
      <c r="F33" s="49">
        <v>35.299999999999997</v>
      </c>
      <c r="G33" s="49">
        <v>1.3499999999999999</v>
      </c>
      <c r="H33" s="50"/>
    </row>
    <row r="34" spans="1:8" ht="15" x14ac:dyDescent="0.2">
      <c r="A34" s="43" t="s">
        <v>45</v>
      </c>
      <c r="B34" s="134"/>
      <c r="C34" s="114" t="s">
        <v>16</v>
      </c>
      <c r="D34" s="49">
        <v>35.299999999999997</v>
      </c>
      <c r="E34" s="49">
        <v>35.299999999999997</v>
      </c>
      <c r="F34" s="49">
        <v>35.299999999999997</v>
      </c>
      <c r="G34" s="49">
        <v>1.3499999999999999</v>
      </c>
      <c r="H34" s="50"/>
    </row>
    <row r="35" spans="1:8" x14ac:dyDescent="0.2">
      <c r="A35" s="122" t="s">
        <v>169</v>
      </c>
      <c r="B35" s="44"/>
      <c r="C35" s="111" t="s">
        <v>16</v>
      </c>
      <c r="D35" s="51">
        <v>-32.9</v>
      </c>
      <c r="E35" s="51">
        <v>-32.9</v>
      </c>
      <c r="F35" s="51">
        <v>-32.9</v>
      </c>
      <c r="G35" s="140" t="s">
        <v>46</v>
      </c>
    </row>
    <row r="36" spans="1:8" x14ac:dyDescent="0.2">
      <c r="A36" s="164"/>
      <c r="B36" s="44"/>
      <c r="C36" s="111" t="s">
        <v>16</v>
      </c>
      <c r="D36" s="51">
        <v>-70.900000000000006</v>
      </c>
      <c r="E36" s="51">
        <v>-70.900000000000006</v>
      </c>
      <c r="F36" s="51">
        <v>-70.900000000000006</v>
      </c>
      <c r="G36" s="140"/>
    </row>
    <row r="37" spans="1:8" x14ac:dyDescent="0.2">
      <c r="A37" s="123"/>
      <c r="B37" s="44"/>
      <c r="C37" s="111" t="s">
        <v>16</v>
      </c>
      <c r="D37" s="51">
        <v>-16.5</v>
      </c>
      <c r="E37" s="51">
        <v>-16.5</v>
      </c>
      <c r="F37" s="51">
        <v>-16.5</v>
      </c>
      <c r="G37" s="140"/>
    </row>
    <row r="38" spans="1:8" ht="31" thickBot="1" x14ac:dyDescent="0.25">
      <c r="A38" s="43" t="s">
        <v>47</v>
      </c>
      <c r="B38" s="43"/>
      <c r="C38" s="111" t="s">
        <v>16</v>
      </c>
      <c r="D38" s="20">
        <v>-2</v>
      </c>
      <c r="E38" s="20">
        <v>-2</v>
      </c>
      <c r="F38" s="20">
        <v>-2</v>
      </c>
      <c r="G38" s="52" t="s">
        <v>34</v>
      </c>
      <c r="H38" s="53" t="s">
        <v>170</v>
      </c>
    </row>
    <row r="39" spans="1:8" ht="15" thickBot="1" x14ac:dyDescent="0.25">
      <c r="A39" s="141" t="s">
        <v>48</v>
      </c>
      <c r="B39" s="142"/>
      <c r="C39" s="142"/>
      <c r="D39" s="142"/>
      <c r="E39" s="142"/>
      <c r="F39" s="142"/>
      <c r="G39" s="142"/>
      <c r="H39" s="143"/>
    </row>
    <row r="40" spans="1:8" ht="30" x14ac:dyDescent="0.2">
      <c r="A40" s="33" t="s">
        <v>49</v>
      </c>
      <c r="B40" s="25" t="s">
        <v>171</v>
      </c>
      <c r="C40" s="111" t="s">
        <v>16</v>
      </c>
      <c r="D40" s="45">
        <v>5376</v>
      </c>
      <c r="E40" s="45">
        <v>5376</v>
      </c>
      <c r="F40" s="45">
        <v>5376</v>
      </c>
      <c r="G40" s="45">
        <v>41</v>
      </c>
      <c r="H40" s="157" t="s">
        <v>50</v>
      </c>
    </row>
    <row r="41" spans="1:8" ht="15" x14ac:dyDescent="0.2">
      <c r="A41" s="36" t="s">
        <v>51</v>
      </c>
      <c r="C41" s="111" t="s">
        <v>16</v>
      </c>
      <c r="D41" s="45">
        <v>909</v>
      </c>
      <c r="E41" s="45">
        <v>909</v>
      </c>
      <c r="F41" s="45">
        <v>909</v>
      </c>
      <c r="G41" s="45">
        <v>28</v>
      </c>
      <c r="H41" s="158"/>
    </row>
    <row r="42" spans="1:8" ht="15" x14ac:dyDescent="0.2">
      <c r="A42" s="36" t="s">
        <v>52</v>
      </c>
      <c r="B42" s="47" t="s">
        <v>172</v>
      </c>
      <c r="C42" s="111" t="s">
        <v>16</v>
      </c>
      <c r="D42" s="67">
        <v>-9</v>
      </c>
      <c r="E42" s="37">
        <v>-9</v>
      </c>
      <c r="F42" s="37">
        <v>-9</v>
      </c>
      <c r="G42" s="37">
        <v>0.27</v>
      </c>
      <c r="H42" s="158"/>
    </row>
    <row r="43" spans="1:8" ht="15" x14ac:dyDescent="0.2">
      <c r="A43" s="36" t="s">
        <v>53</v>
      </c>
      <c r="B43" s="47" t="s">
        <v>173</v>
      </c>
      <c r="C43" s="111" t="s">
        <v>16</v>
      </c>
      <c r="D43" s="67">
        <v>76</v>
      </c>
      <c r="E43" s="37">
        <v>76</v>
      </c>
      <c r="F43" s="37">
        <v>76</v>
      </c>
      <c r="G43" s="37">
        <v>1.9</v>
      </c>
      <c r="H43" s="53"/>
    </row>
    <row r="44" spans="1:8" ht="45" x14ac:dyDescent="0.2">
      <c r="A44" s="36" t="s">
        <v>54</v>
      </c>
      <c r="B44" s="47" t="s">
        <v>174</v>
      </c>
      <c r="C44" s="111" t="s">
        <v>16</v>
      </c>
      <c r="D44" s="67">
        <v>0.03</v>
      </c>
      <c r="E44" s="37">
        <v>0.03</v>
      </c>
      <c r="F44" s="37">
        <v>0.03</v>
      </c>
      <c r="G44" s="37" t="s">
        <v>34</v>
      </c>
      <c r="H44" s="53" t="s">
        <v>166</v>
      </c>
    </row>
    <row r="45" spans="1:8" ht="15" x14ac:dyDescent="0.2">
      <c r="A45" s="36" t="s">
        <v>55</v>
      </c>
      <c r="B45" s="47" t="s">
        <v>165</v>
      </c>
      <c r="C45" s="111" t="s">
        <v>16</v>
      </c>
      <c r="D45" s="67">
        <v>68</v>
      </c>
      <c r="E45" s="37">
        <v>68</v>
      </c>
      <c r="F45" s="37">
        <v>68</v>
      </c>
      <c r="G45" s="37">
        <v>9.6</v>
      </c>
      <c r="H45" s="146" t="s">
        <v>175</v>
      </c>
    </row>
    <row r="46" spans="1:8" ht="15" x14ac:dyDescent="0.2">
      <c r="A46" s="36" t="s">
        <v>56</v>
      </c>
      <c r="C46" s="115" t="s">
        <v>57</v>
      </c>
      <c r="D46" s="103">
        <f>D47*F46/F47</f>
        <v>56.320754716981121</v>
      </c>
      <c r="E46" s="103">
        <f>E47*F46/F47</f>
        <v>46.933962264150942</v>
      </c>
      <c r="F46" s="45">
        <f>99.5*0.6</f>
        <v>59.699999999999996</v>
      </c>
      <c r="G46" s="45">
        <v>1.27</v>
      </c>
      <c r="H46" s="146"/>
    </row>
    <row r="47" spans="1:8" ht="15" x14ac:dyDescent="0.2">
      <c r="A47" s="36" t="s">
        <v>58</v>
      </c>
      <c r="B47" s="48" t="s">
        <v>176</v>
      </c>
      <c r="C47" s="115" t="s">
        <v>57</v>
      </c>
      <c r="D47" s="96">
        <v>60</v>
      </c>
      <c r="E47" s="96">
        <v>50</v>
      </c>
      <c r="F47" s="55">
        <v>63.6</v>
      </c>
      <c r="G47" s="55">
        <v>0.62</v>
      </c>
    </row>
    <row r="48" spans="1:8" ht="31.5" customHeight="1" x14ac:dyDescent="0.2">
      <c r="A48" s="36" t="s">
        <v>59</v>
      </c>
      <c r="B48" s="48"/>
      <c r="C48" s="114" t="s">
        <v>16</v>
      </c>
      <c r="D48" s="55" t="s">
        <v>177</v>
      </c>
      <c r="E48" s="55" t="s">
        <v>177</v>
      </c>
      <c r="F48" s="55" t="s">
        <v>177</v>
      </c>
      <c r="G48" s="55"/>
    </row>
    <row r="49" spans="1:8" ht="30" x14ac:dyDescent="0.2">
      <c r="A49" s="36" t="s">
        <v>60</v>
      </c>
      <c r="B49" s="48"/>
      <c r="C49" s="114" t="s">
        <v>16</v>
      </c>
      <c r="D49" s="81">
        <v>-4.5</v>
      </c>
      <c r="E49" s="57">
        <v>-4.5</v>
      </c>
      <c r="F49" s="57">
        <v>-4.5</v>
      </c>
      <c r="G49" s="37" t="s">
        <v>34</v>
      </c>
      <c r="H49" s="53" t="s">
        <v>170</v>
      </c>
    </row>
    <row r="50" spans="1:8" ht="30" x14ac:dyDescent="0.2">
      <c r="A50" s="36" t="s">
        <v>62</v>
      </c>
      <c r="B50" s="48"/>
      <c r="C50" s="111" t="s">
        <v>16</v>
      </c>
      <c r="D50" s="58">
        <f>1.08*D47</f>
        <v>64.800000000000011</v>
      </c>
      <c r="E50" s="58">
        <f>1.08*E47</f>
        <v>54</v>
      </c>
      <c r="F50" s="58">
        <f>1.08*F47</f>
        <v>68.688000000000002</v>
      </c>
      <c r="G50" s="59" t="s">
        <v>34</v>
      </c>
      <c r="H50" s="53" t="s">
        <v>170</v>
      </c>
    </row>
    <row r="51" spans="1:8" ht="15" x14ac:dyDescent="0.2">
      <c r="A51" s="36" t="s">
        <v>63</v>
      </c>
      <c r="B51" s="48" t="s">
        <v>178</v>
      </c>
      <c r="C51" s="111" t="s">
        <v>16</v>
      </c>
      <c r="D51" s="81">
        <v>6</v>
      </c>
      <c r="E51" s="57">
        <v>6</v>
      </c>
      <c r="F51" s="57">
        <v>6</v>
      </c>
      <c r="G51" s="37" t="s">
        <v>34</v>
      </c>
    </row>
    <row r="52" spans="1:8" ht="15" x14ac:dyDescent="0.2">
      <c r="A52" s="36" t="s">
        <v>64</v>
      </c>
      <c r="B52" s="48"/>
      <c r="C52" s="111" t="s">
        <v>16</v>
      </c>
      <c r="D52" s="81">
        <v>-0.08</v>
      </c>
      <c r="E52" s="57">
        <v>-0.08</v>
      </c>
      <c r="F52" s="57">
        <v>-0.14199999999999999</v>
      </c>
      <c r="G52" s="37" t="s">
        <v>34</v>
      </c>
    </row>
    <row r="53" spans="1:8" ht="15" x14ac:dyDescent="0.2">
      <c r="A53" s="36" t="s">
        <v>65</v>
      </c>
      <c r="B53" s="48" t="s">
        <v>179</v>
      </c>
      <c r="C53" s="111" t="s">
        <v>16</v>
      </c>
      <c r="D53" s="81">
        <v>-0.08</v>
      </c>
      <c r="E53" s="57">
        <v>-0.08</v>
      </c>
      <c r="F53" s="57">
        <v>-0.08</v>
      </c>
      <c r="G53" s="37" t="s">
        <v>34</v>
      </c>
    </row>
    <row r="54" spans="1:8" ht="15" x14ac:dyDescent="0.2">
      <c r="A54" s="4" t="s">
        <v>66</v>
      </c>
      <c r="B54" s="6"/>
      <c r="C54" s="115" t="s">
        <v>57</v>
      </c>
      <c r="D54" s="94">
        <v>36.5</v>
      </c>
      <c r="E54" s="94">
        <v>31</v>
      </c>
      <c r="F54" s="37">
        <v>39.630000000000003</v>
      </c>
      <c r="G54" s="37">
        <v>1.7</v>
      </c>
    </row>
    <row r="55" spans="1:8" ht="15" x14ac:dyDescent="0.2">
      <c r="A55" s="4" t="s">
        <v>67</v>
      </c>
      <c r="B55" s="6"/>
      <c r="C55" s="115" t="s">
        <v>57</v>
      </c>
      <c r="D55" s="104">
        <f>D54*F55/F54</f>
        <v>29.168685339389352</v>
      </c>
      <c r="E55" s="104">
        <f>E54*F55/F54</f>
        <v>24.773403986878627</v>
      </c>
      <c r="F55" s="37">
        <v>31.67</v>
      </c>
      <c r="G55" s="37">
        <v>2.5</v>
      </c>
    </row>
    <row r="56" spans="1:8" ht="15" x14ac:dyDescent="0.2">
      <c r="A56" s="36" t="s">
        <v>68</v>
      </c>
      <c r="B56" s="38"/>
      <c r="C56" s="114" t="s">
        <v>16</v>
      </c>
      <c r="D56" s="67">
        <v>-2.2000000000000002</v>
      </c>
      <c r="E56" s="37">
        <v>-2.2000000000000002</v>
      </c>
      <c r="F56" s="37">
        <v>-2.2000000000000002</v>
      </c>
      <c r="G56" s="37"/>
    </row>
    <row r="57" spans="1:8" ht="31" thickBot="1" x14ac:dyDescent="0.25">
      <c r="A57" s="7" t="s">
        <v>180</v>
      </c>
      <c r="B57" s="8"/>
      <c r="C57" s="116" t="s">
        <v>16</v>
      </c>
      <c r="D57" s="42">
        <v>2.1800000000000002</v>
      </c>
      <c r="E57" s="42">
        <v>2.1800000000000002</v>
      </c>
      <c r="F57" s="42">
        <v>2.1800000000000002</v>
      </c>
      <c r="G57" s="42">
        <v>0.33</v>
      </c>
    </row>
    <row r="58" spans="1:8" ht="15" thickBot="1" x14ac:dyDescent="0.25">
      <c r="A58" s="141" t="s">
        <v>69</v>
      </c>
      <c r="B58" s="142"/>
      <c r="C58" s="142"/>
      <c r="D58" s="142"/>
      <c r="E58" s="142"/>
      <c r="F58" s="142"/>
      <c r="G58" s="142"/>
      <c r="H58" s="143"/>
    </row>
    <row r="59" spans="1:8" ht="14.5" customHeight="1" x14ac:dyDescent="0.2">
      <c r="A59" s="60" t="s">
        <v>70</v>
      </c>
      <c r="B59" s="60"/>
      <c r="C59" s="151" t="s">
        <v>236</v>
      </c>
      <c r="D59" s="152"/>
      <c r="E59" s="152"/>
      <c r="F59" s="152"/>
      <c r="G59" s="153"/>
      <c r="H59" s="147" t="s">
        <v>181</v>
      </c>
    </row>
    <row r="60" spans="1:8" ht="15" x14ac:dyDescent="0.2">
      <c r="A60" s="54" t="s">
        <v>71</v>
      </c>
      <c r="B60" s="32"/>
      <c r="C60" s="117" t="s">
        <v>247</v>
      </c>
      <c r="D60" s="102" t="s">
        <v>245</v>
      </c>
      <c r="E60" s="102" t="s">
        <v>245</v>
      </c>
      <c r="F60" s="139">
        <v>60000</v>
      </c>
      <c r="G60" s="139"/>
      <c r="H60" s="147"/>
    </row>
    <row r="61" spans="1:8" ht="14.5" customHeight="1" x14ac:dyDescent="0.2">
      <c r="A61" s="38" t="s">
        <v>73</v>
      </c>
      <c r="B61" s="97"/>
      <c r="C61" s="117" t="s">
        <v>247</v>
      </c>
      <c r="D61" s="102" t="s">
        <v>245</v>
      </c>
      <c r="E61" s="102" t="s">
        <v>245</v>
      </c>
      <c r="F61" s="99">
        <v>67042.669899999994</v>
      </c>
      <c r="G61" s="37"/>
      <c r="H61" s="148"/>
    </row>
    <row r="62" spans="1:8" ht="14.5" customHeight="1" x14ac:dyDescent="0.2">
      <c r="A62" s="38" t="s">
        <v>74</v>
      </c>
      <c r="B62" s="97"/>
      <c r="C62" s="117" t="s">
        <v>247</v>
      </c>
      <c r="D62" s="102" t="s">
        <v>245</v>
      </c>
      <c r="E62" s="102" t="s">
        <v>245</v>
      </c>
      <c r="F62" s="99">
        <v>99763.729000000007</v>
      </c>
      <c r="G62" s="37"/>
      <c r="H62" s="148"/>
    </row>
    <row r="63" spans="1:8" ht="14.5" customHeight="1" x14ac:dyDescent="0.2">
      <c r="A63" s="38" t="s">
        <v>75</v>
      </c>
      <c r="B63" s="97"/>
      <c r="C63" s="117" t="s">
        <v>247</v>
      </c>
      <c r="D63" s="102" t="s">
        <v>245</v>
      </c>
      <c r="E63" s="102" t="s">
        <v>245</v>
      </c>
      <c r="F63" s="99">
        <v>68574.796849999999</v>
      </c>
      <c r="G63" s="37"/>
      <c r="H63" s="148"/>
    </row>
    <row r="64" spans="1:8" ht="14.5" customHeight="1" x14ac:dyDescent="0.2">
      <c r="A64" s="38" t="s">
        <v>76</v>
      </c>
      <c r="B64" s="97"/>
      <c r="C64" s="117" t="s">
        <v>247</v>
      </c>
      <c r="D64" s="102" t="s">
        <v>245</v>
      </c>
      <c r="E64" s="102" t="s">
        <v>245</v>
      </c>
      <c r="F64" s="99">
        <v>109125.6635</v>
      </c>
      <c r="G64" s="37"/>
      <c r="H64" s="148"/>
    </row>
    <row r="65" spans="1:8" ht="20" customHeight="1" x14ac:dyDescent="0.2">
      <c r="A65" s="38" t="s">
        <v>77</v>
      </c>
      <c r="B65" s="97"/>
      <c r="C65" s="36" t="s">
        <v>16</v>
      </c>
      <c r="D65" s="100"/>
      <c r="E65" s="100"/>
      <c r="F65" s="150"/>
      <c r="G65" s="150"/>
      <c r="H65" s="148"/>
    </row>
    <row r="66" spans="1:8" ht="20" customHeight="1" x14ac:dyDescent="0.2">
      <c r="A66" s="38" t="s">
        <v>78</v>
      </c>
      <c r="B66" s="98" t="s">
        <v>178</v>
      </c>
      <c r="C66" s="118" t="s">
        <v>16</v>
      </c>
      <c r="D66" s="101"/>
      <c r="E66" s="154" t="s">
        <v>248</v>
      </c>
      <c r="F66" s="155"/>
      <c r="G66" s="156"/>
      <c r="H66" s="148"/>
    </row>
    <row r="67" spans="1:8" ht="20" customHeight="1" x14ac:dyDescent="0.2">
      <c r="A67" s="38" t="s">
        <v>79</v>
      </c>
      <c r="B67" s="98"/>
      <c r="C67" s="118" t="s">
        <v>16</v>
      </c>
      <c r="D67" s="101"/>
      <c r="E67" s="154" t="s">
        <v>237</v>
      </c>
      <c r="F67" s="155"/>
      <c r="G67" s="156"/>
      <c r="H67" s="148"/>
    </row>
    <row r="68" spans="1:8" ht="20" customHeight="1" x14ac:dyDescent="0.2">
      <c r="A68" s="38" t="s">
        <v>80</v>
      </c>
      <c r="B68" s="98"/>
      <c r="C68" s="118" t="s">
        <v>16</v>
      </c>
      <c r="D68" s="101"/>
      <c r="E68" s="154" t="s">
        <v>238</v>
      </c>
      <c r="F68" s="155"/>
      <c r="G68" s="156"/>
      <c r="H68" s="148"/>
    </row>
    <row r="69" spans="1:8" ht="20" customHeight="1" x14ac:dyDescent="0.2">
      <c r="A69" s="137" t="s">
        <v>182</v>
      </c>
      <c r="B69" s="98" t="s">
        <v>183</v>
      </c>
      <c r="C69" s="118" t="s">
        <v>16</v>
      </c>
      <c r="D69" s="99">
        <v>10.234335913000001</v>
      </c>
      <c r="E69" s="99">
        <v>10.234335913000001</v>
      </c>
      <c r="F69" s="63">
        <v>10.234335913000001</v>
      </c>
      <c r="G69" s="12"/>
      <c r="H69" s="148"/>
    </row>
    <row r="70" spans="1:8" ht="20" customHeight="1" x14ac:dyDescent="0.2">
      <c r="A70" s="138"/>
      <c r="B70" s="48" t="s">
        <v>184</v>
      </c>
      <c r="C70" s="118" t="s">
        <v>16</v>
      </c>
      <c r="D70" s="63">
        <v>13.604605000300001</v>
      </c>
      <c r="E70" s="63">
        <v>13.604605000300001</v>
      </c>
      <c r="F70" s="63">
        <v>13.604605000300001</v>
      </c>
      <c r="G70" s="12"/>
      <c r="H70" s="148"/>
    </row>
    <row r="71" spans="1:8" ht="20" customHeight="1" x14ac:dyDescent="0.2">
      <c r="A71" s="137" t="s">
        <v>185</v>
      </c>
      <c r="B71" s="48" t="s">
        <v>186</v>
      </c>
      <c r="C71" s="118" t="s">
        <v>16</v>
      </c>
      <c r="D71" s="63">
        <v>7.2700566595000016</v>
      </c>
      <c r="E71" s="63">
        <v>7.2700566595000016</v>
      </c>
      <c r="F71" s="63">
        <v>7.2700566595000016</v>
      </c>
      <c r="G71" s="12"/>
      <c r="H71" s="148"/>
    </row>
    <row r="72" spans="1:8" ht="20" customHeight="1" x14ac:dyDescent="0.2">
      <c r="A72" s="138"/>
      <c r="B72" s="48" t="s">
        <v>187</v>
      </c>
      <c r="C72" s="118" t="s">
        <v>16</v>
      </c>
      <c r="D72" s="63">
        <v>11.446795924450001</v>
      </c>
      <c r="E72" s="63">
        <v>11.446795924450001</v>
      </c>
      <c r="F72" s="63">
        <v>11.446795924450001</v>
      </c>
      <c r="G72" s="12"/>
      <c r="H72" s="148"/>
    </row>
    <row r="73" spans="1:8" ht="15" x14ac:dyDescent="0.2">
      <c r="A73" s="135" t="s">
        <v>81</v>
      </c>
      <c r="B73" s="48"/>
      <c r="C73" s="118" t="s">
        <v>16</v>
      </c>
      <c r="D73" s="65" t="s">
        <v>82</v>
      </c>
      <c r="E73" s="41" t="s">
        <v>82</v>
      </c>
      <c r="F73" s="41" t="s">
        <v>82</v>
      </c>
      <c r="G73" s="139" t="s">
        <v>83</v>
      </c>
      <c r="H73" s="148"/>
    </row>
    <row r="74" spans="1:8" ht="15" x14ac:dyDescent="0.2">
      <c r="A74" s="135"/>
      <c r="B74" s="48"/>
      <c r="C74" s="118" t="s">
        <v>16</v>
      </c>
      <c r="D74" s="65" t="s">
        <v>84</v>
      </c>
      <c r="E74" s="41" t="s">
        <v>84</v>
      </c>
      <c r="F74" s="41" t="s">
        <v>84</v>
      </c>
      <c r="G74" s="139"/>
      <c r="H74" s="148"/>
    </row>
    <row r="75" spans="1:8" ht="15" x14ac:dyDescent="0.2">
      <c r="A75" s="135"/>
      <c r="B75" s="48"/>
      <c r="C75" s="118" t="s">
        <v>16</v>
      </c>
      <c r="D75" s="65" t="s">
        <v>85</v>
      </c>
      <c r="E75" s="41" t="s">
        <v>85</v>
      </c>
      <c r="F75" s="41" t="s">
        <v>85</v>
      </c>
      <c r="G75" s="139"/>
      <c r="H75" s="148"/>
    </row>
    <row r="76" spans="1:8" ht="15" x14ac:dyDescent="0.2">
      <c r="A76" s="38" t="s">
        <v>86</v>
      </c>
      <c r="B76" s="48" t="s">
        <v>178</v>
      </c>
      <c r="C76" s="118" t="s">
        <v>16</v>
      </c>
      <c r="D76" s="48"/>
      <c r="E76" s="48"/>
      <c r="F76" s="139"/>
      <c r="G76" s="139"/>
      <c r="H76" s="148"/>
    </row>
    <row r="77" spans="1:8" ht="15" x14ac:dyDescent="0.2">
      <c r="A77" s="38" t="s">
        <v>87</v>
      </c>
      <c r="B77" s="48" t="s">
        <v>188</v>
      </c>
      <c r="C77" s="118" t="s">
        <v>16</v>
      </c>
      <c r="D77" s="65" t="s">
        <v>88</v>
      </c>
      <c r="E77" s="65" t="s">
        <v>88</v>
      </c>
      <c r="F77" s="41" t="s">
        <v>88</v>
      </c>
      <c r="G77" s="41" t="s">
        <v>89</v>
      </c>
      <c r="H77" s="148"/>
    </row>
    <row r="78" spans="1:8" ht="15" x14ac:dyDescent="0.2">
      <c r="A78" s="135" t="s">
        <v>90</v>
      </c>
      <c r="B78" s="48"/>
      <c r="C78" s="118" t="s">
        <v>16</v>
      </c>
      <c r="D78" s="65" t="s">
        <v>91</v>
      </c>
      <c r="E78" s="65" t="s">
        <v>91</v>
      </c>
      <c r="F78" s="41" t="s">
        <v>91</v>
      </c>
      <c r="G78" s="139" t="s">
        <v>92</v>
      </c>
      <c r="H78" s="148"/>
    </row>
    <row r="79" spans="1:8" ht="15" x14ac:dyDescent="0.2">
      <c r="A79" s="135"/>
      <c r="B79" s="48"/>
      <c r="C79" s="118" t="s">
        <v>16</v>
      </c>
      <c r="D79" s="65" t="s">
        <v>93</v>
      </c>
      <c r="E79" s="65" t="s">
        <v>93</v>
      </c>
      <c r="F79" s="41" t="s">
        <v>93</v>
      </c>
      <c r="G79" s="139"/>
      <c r="H79" s="148"/>
    </row>
    <row r="80" spans="1:8" ht="15" x14ac:dyDescent="0.2">
      <c r="A80" s="135"/>
      <c r="B80" s="48"/>
      <c r="C80" s="118" t="s">
        <v>16</v>
      </c>
      <c r="D80" s="65" t="s">
        <v>94</v>
      </c>
      <c r="E80" s="65" t="s">
        <v>94</v>
      </c>
      <c r="F80" s="41" t="s">
        <v>94</v>
      </c>
      <c r="G80" s="139"/>
      <c r="H80" s="148"/>
    </row>
    <row r="81" spans="1:8" ht="30" x14ac:dyDescent="0.2">
      <c r="A81" s="38" t="s">
        <v>95</v>
      </c>
      <c r="B81" s="48" t="s">
        <v>189</v>
      </c>
      <c r="C81" s="118" t="s">
        <v>16</v>
      </c>
      <c r="D81" s="65" t="s">
        <v>96</v>
      </c>
      <c r="E81" s="65" t="s">
        <v>96</v>
      </c>
      <c r="F81" s="41" t="s">
        <v>96</v>
      </c>
      <c r="G81" s="41" t="s">
        <v>97</v>
      </c>
      <c r="H81" s="148"/>
    </row>
    <row r="82" spans="1:8" ht="15" x14ac:dyDescent="0.2">
      <c r="A82" s="135" t="s">
        <v>98</v>
      </c>
      <c r="B82" s="48"/>
      <c r="C82" s="118" t="s">
        <v>16</v>
      </c>
      <c r="D82" s="65" t="s">
        <v>99</v>
      </c>
      <c r="E82" s="65" t="s">
        <v>99</v>
      </c>
      <c r="F82" s="41" t="s">
        <v>99</v>
      </c>
      <c r="G82" s="139" t="s">
        <v>100</v>
      </c>
      <c r="H82" s="148"/>
    </row>
    <row r="83" spans="1:8" ht="15" x14ac:dyDescent="0.2">
      <c r="A83" s="135"/>
      <c r="B83" s="48"/>
      <c r="C83" s="118" t="s">
        <v>16</v>
      </c>
      <c r="D83" s="65" t="s">
        <v>101</v>
      </c>
      <c r="E83" s="65" t="s">
        <v>101</v>
      </c>
      <c r="F83" s="41" t="s">
        <v>101</v>
      </c>
      <c r="G83" s="139"/>
      <c r="H83" s="148"/>
    </row>
    <row r="84" spans="1:8" ht="15" x14ac:dyDescent="0.2">
      <c r="A84" s="135"/>
      <c r="B84" s="48"/>
      <c r="C84" s="118" t="s">
        <v>16</v>
      </c>
      <c r="D84" s="65" t="s">
        <v>102</v>
      </c>
      <c r="E84" s="65" t="s">
        <v>102</v>
      </c>
      <c r="F84" s="41" t="s">
        <v>102</v>
      </c>
      <c r="G84" s="139"/>
      <c r="H84" s="148"/>
    </row>
    <row r="85" spans="1:8" ht="15" x14ac:dyDescent="0.2">
      <c r="A85" s="38" t="s">
        <v>103</v>
      </c>
      <c r="B85" s="48" t="s">
        <v>190</v>
      </c>
      <c r="C85" s="118" t="s">
        <v>16</v>
      </c>
      <c r="D85" s="65" t="s">
        <v>104</v>
      </c>
      <c r="E85" s="65" t="s">
        <v>104</v>
      </c>
      <c r="F85" s="41" t="s">
        <v>104</v>
      </c>
      <c r="G85" s="41" t="s">
        <v>92</v>
      </c>
      <c r="H85" s="148"/>
    </row>
    <row r="86" spans="1:8" ht="15" x14ac:dyDescent="0.2">
      <c r="A86" s="135" t="s">
        <v>105</v>
      </c>
      <c r="B86" s="48"/>
      <c r="C86" s="118" t="s">
        <v>16</v>
      </c>
      <c r="D86" s="65" t="s">
        <v>106</v>
      </c>
      <c r="E86" s="65" t="s">
        <v>106</v>
      </c>
      <c r="F86" s="41" t="s">
        <v>106</v>
      </c>
      <c r="G86" s="139" t="s">
        <v>107</v>
      </c>
      <c r="H86" s="148"/>
    </row>
    <row r="87" spans="1:8" ht="15" x14ac:dyDescent="0.2">
      <c r="A87" s="135"/>
      <c r="B87" s="48"/>
      <c r="C87" s="118" t="s">
        <v>16</v>
      </c>
      <c r="D87" s="65" t="s">
        <v>108</v>
      </c>
      <c r="E87" s="65" t="s">
        <v>108</v>
      </c>
      <c r="F87" s="41" t="s">
        <v>108</v>
      </c>
      <c r="G87" s="139"/>
      <c r="H87" s="148"/>
    </row>
    <row r="88" spans="1:8" ht="15" x14ac:dyDescent="0.2">
      <c r="A88" s="135"/>
      <c r="B88" s="48"/>
      <c r="C88" s="118" t="s">
        <v>16</v>
      </c>
      <c r="D88" s="65" t="s">
        <v>109</v>
      </c>
      <c r="E88" s="65" t="s">
        <v>109</v>
      </c>
      <c r="F88" s="41" t="s">
        <v>109</v>
      </c>
      <c r="G88" s="139"/>
      <c r="H88" s="148"/>
    </row>
    <row r="89" spans="1:8" ht="30" x14ac:dyDescent="0.2">
      <c r="A89" s="38" t="s">
        <v>110</v>
      </c>
      <c r="B89" s="48" t="s">
        <v>191</v>
      </c>
      <c r="C89" s="118" t="s">
        <v>16</v>
      </c>
      <c r="D89" s="65" t="s">
        <v>111</v>
      </c>
      <c r="E89" s="65" t="s">
        <v>111</v>
      </c>
      <c r="F89" s="41" t="s">
        <v>111</v>
      </c>
      <c r="G89" s="41" t="s">
        <v>92</v>
      </c>
      <c r="H89" s="148"/>
    </row>
    <row r="90" spans="1:8" ht="15" x14ac:dyDescent="0.2">
      <c r="A90" s="38" t="s">
        <v>112</v>
      </c>
      <c r="B90" s="48"/>
      <c r="C90" s="118" t="s">
        <v>16</v>
      </c>
      <c r="D90" s="65">
        <v>4</v>
      </c>
      <c r="E90" s="65">
        <v>4</v>
      </c>
      <c r="F90" s="41">
        <v>4</v>
      </c>
      <c r="G90" s="41">
        <v>1</v>
      </c>
      <c r="H90" s="148"/>
    </row>
    <row r="91" spans="1:8" ht="15" x14ac:dyDescent="0.2">
      <c r="A91" s="38" t="s">
        <v>113</v>
      </c>
      <c r="B91" s="48"/>
      <c r="C91" s="118" t="s">
        <v>16</v>
      </c>
      <c r="D91" s="81">
        <v>6</v>
      </c>
      <c r="E91" s="81">
        <v>6</v>
      </c>
      <c r="F91" s="57">
        <v>6</v>
      </c>
      <c r="G91" s="41">
        <v>1</v>
      </c>
      <c r="H91" s="148"/>
    </row>
    <row r="92" spans="1:8" ht="15" x14ac:dyDescent="0.2">
      <c r="A92" s="38" t="s">
        <v>114</v>
      </c>
      <c r="B92" s="48"/>
      <c r="C92" s="118" t="s">
        <v>16</v>
      </c>
      <c r="D92" s="67">
        <v>8</v>
      </c>
      <c r="E92" s="67">
        <v>8</v>
      </c>
      <c r="F92" s="37">
        <v>8</v>
      </c>
      <c r="G92" s="41">
        <v>1</v>
      </c>
      <c r="H92" s="148"/>
    </row>
    <row r="93" spans="1:8" ht="15" x14ac:dyDescent="0.2">
      <c r="A93" s="38" t="s">
        <v>115</v>
      </c>
      <c r="B93" s="48" t="s">
        <v>192</v>
      </c>
      <c r="C93" s="118" t="s">
        <v>16</v>
      </c>
      <c r="D93" s="81" t="s">
        <v>88</v>
      </c>
      <c r="E93" s="81" t="s">
        <v>88</v>
      </c>
      <c r="F93" s="57" t="s">
        <v>88</v>
      </c>
      <c r="G93" s="37" t="s">
        <v>89</v>
      </c>
      <c r="H93" s="148"/>
    </row>
    <row r="94" spans="1:8" ht="15" x14ac:dyDescent="0.2">
      <c r="A94" s="135" t="s">
        <v>116</v>
      </c>
      <c r="B94" s="48"/>
      <c r="C94" s="118" t="s">
        <v>16</v>
      </c>
      <c r="D94" s="67" t="s">
        <v>117</v>
      </c>
      <c r="E94" s="67" t="s">
        <v>117</v>
      </c>
      <c r="F94" s="37" t="s">
        <v>117</v>
      </c>
      <c r="G94" s="136" t="s">
        <v>92</v>
      </c>
      <c r="H94" s="148"/>
    </row>
    <row r="95" spans="1:8" ht="15" customHeight="1" x14ac:dyDescent="0.2">
      <c r="A95" s="135"/>
      <c r="B95" s="48"/>
      <c r="C95" s="118" t="s">
        <v>16</v>
      </c>
      <c r="D95" s="81" t="s">
        <v>118</v>
      </c>
      <c r="E95" s="81" t="s">
        <v>118</v>
      </c>
      <c r="F95" s="57" t="s">
        <v>118</v>
      </c>
      <c r="G95" s="136"/>
      <c r="H95" s="148"/>
    </row>
    <row r="96" spans="1:8" ht="15" x14ac:dyDescent="0.2">
      <c r="A96" s="135"/>
      <c r="B96" s="48"/>
      <c r="C96" s="118" t="s">
        <v>16</v>
      </c>
      <c r="D96" s="67" t="s">
        <v>119</v>
      </c>
      <c r="E96" s="67" t="s">
        <v>119</v>
      </c>
      <c r="F96" s="37" t="s">
        <v>119</v>
      </c>
      <c r="G96" s="136"/>
      <c r="H96" s="148"/>
    </row>
    <row r="97" spans="1:8" ht="15" x14ac:dyDescent="0.2">
      <c r="A97" s="38" t="s">
        <v>120</v>
      </c>
      <c r="B97" s="48" t="s">
        <v>193</v>
      </c>
      <c r="C97" s="118" t="s">
        <v>16</v>
      </c>
      <c r="D97" s="81" t="s">
        <v>88</v>
      </c>
      <c r="E97" s="81" t="s">
        <v>88</v>
      </c>
      <c r="F97" s="57" t="s">
        <v>88</v>
      </c>
      <c r="G97" s="37" t="s">
        <v>89</v>
      </c>
      <c r="H97" s="148"/>
    </row>
    <row r="98" spans="1:8" ht="15" x14ac:dyDescent="0.2">
      <c r="A98" s="135" t="s">
        <v>121</v>
      </c>
      <c r="B98" s="48"/>
      <c r="C98" s="118" t="s">
        <v>16</v>
      </c>
      <c r="D98" s="67" t="s">
        <v>122</v>
      </c>
      <c r="E98" s="67" t="s">
        <v>122</v>
      </c>
      <c r="F98" s="37" t="s">
        <v>122</v>
      </c>
      <c r="G98" s="136" t="s">
        <v>100</v>
      </c>
      <c r="H98" s="148"/>
    </row>
    <row r="99" spans="1:8" ht="15" customHeight="1" x14ac:dyDescent="0.2">
      <c r="A99" s="135"/>
      <c r="B99" s="48"/>
      <c r="C99" s="118" t="s">
        <v>16</v>
      </c>
      <c r="D99" s="81" t="s">
        <v>123</v>
      </c>
      <c r="E99" s="81" t="s">
        <v>123</v>
      </c>
      <c r="F99" s="57" t="s">
        <v>123</v>
      </c>
      <c r="G99" s="136"/>
      <c r="H99" s="148"/>
    </row>
    <row r="100" spans="1:8" ht="15" x14ac:dyDescent="0.2">
      <c r="A100" s="135"/>
      <c r="B100" s="48"/>
      <c r="C100" s="118" t="s">
        <v>16</v>
      </c>
      <c r="D100" s="67" t="s">
        <v>124</v>
      </c>
      <c r="E100" s="67" t="s">
        <v>124</v>
      </c>
      <c r="F100" s="37" t="s">
        <v>124</v>
      </c>
      <c r="G100" s="136"/>
      <c r="H100" s="148"/>
    </row>
    <row r="101" spans="1:8" ht="15" x14ac:dyDescent="0.2">
      <c r="A101" s="38" t="s">
        <v>125</v>
      </c>
      <c r="B101" s="48" t="s">
        <v>194</v>
      </c>
      <c r="C101" s="118" t="s">
        <v>16</v>
      </c>
      <c r="D101" s="67" t="s">
        <v>104</v>
      </c>
      <c r="E101" s="67" t="s">
        <v>104</v>
      </c>
      <c r="F101" s="37" t="s">
        <v>104</v>
      </c>
      <c r="G101" s="37" t="s">
        <v>92</v>
      </c>
      <c r="H101" s="148"/>
    </row>
    <row r="102" spans="1:8" ht="15" x14ac:dyDescent="0.2">
      <c r="A102" s="135" t="s">
        <v>126</v>
      </c>
      <c r="B102" s="48"/>
      <c r="C102" s="118" t="s">
        <v>16</v>
      </c>
      <c r="D102" s="81" t="s">
        <v>127</v>
      </c>
      <c r="E102" s="81" t="s">
        <v>127</v>
      </c>
      <c r="F102" s="57" t="s">
        <v>127</v>
      </c>
      <c r="G102" s="136" t="s">
        <v>107</v>
      </c>
      <c r="H102" s="148"/>
    </row>
    <row r="103" spans="1:8" ht="15" customHeight="1" x14ac:dyDescent="0.2">
      <c r="A103" s="135"/>
      <c r="B103" s="48"/>
      <c r="C103" s="118" t="s">
        <v>16</v>
      </c>
      <c r="D103" s="67" t="s">
        <v>128</v>
      </c>
      <c r="E103" s="67" t="s">
        <v>128</v>
      </c>
      <c r="F103" s="37" t="s">
        <v>128</v>
      </c>
      <c r="G103" s="136"/>
      <c r="H103" s="148"/>
    </row>
    <row r="104" spans="1:8" ht="15" x14ac:dyDescent="0.2">
      <c r="A104" s="135"/>
      <c r="B104" s="48"/>
      <c r="C104" s="118" t="s">
        <v>16</v>
      </c>
      <c r="D104" s="81" t="s">
        <v>129</v>
      </c>
      <c r="E104" s="81" t="s">
        <v>129</v>
      </c>
      <c r="F104" s="57" t="s">
        <v>129</v>
      </c>
      <c r="G104" s="136"/>
      <c r="H104" s="148"/>
    </row>
    <row r="105" spans="1:8" ht="16" thickBot="1" x14ac:dyDescent="0.25">
      <c r="A105" s="44" t="s">
        <v>130</v>
      </c>
      <c r="B105" s="48" t="s">
        <v>195</v>
      </c>
      <c r="C105" s="118" t="s">
        <v>16</v>
      </c>
      <c r="D105" s="42" t="s">
        <v>131</v>
      </c>
      <c r="E105" s="42" t="s">
        <v>131</v>
      </c>
      <c r="F105" s="42" t="s">
        <v>131</v>
      </c>
      <c r="G105" s="42" t="s">
        <v>92</v>
      </c>
      <c r="H105" s="149"/>
    </row>
    <row r="106" spans="1:8" ht="15" thickBot="1" x14ac:dyDescent="0.25">
      <c r="A106" s="141" t="s">
        <v>132</v>
      </c>
      <c r="B106" s="142"/>
      <c r="C106" s="142"/>
      <c r="D106" s="142"/>
      <c r="E106" s="142"/>
      <c r="F106" s="142"/>
      <c r="G106" s="142"/>
      <c r="H106" s="143"/>
    </row>
    <row r="107" spans="1:8" ht="45" x14ac:dyDescent="0.2">
      <c r="A107" s="22" t="s">
        <v>196</v>
      </c>
      <c r="B107" s="47" t="s">
        <v>197</v>
      </c>
      <c r="C107" s="36" t="s">
        <v>16</v>
      </c>
      <c r="D107" s="70">
        <f>831.2-142</f>
        <v>689.2</v>
      </c>
      <c r="E107" s="70">
        <f>831.2-142</f>
        <v>689.2</v>
      </c>
      <c r="F107" s="70">
        <f>831.2-142</f>
        <v>689.2</v>
      </c>
      <c r="G107" s="70">
        <f>(689.2/831.2)*27.1</f>
        <v>22.470307988450436</v>
      </c>
    </row>
    <row r="108" spans="1:8" ht="45" x14ac:dyDescent="0.2">
      <c r="A108" s="22" t="s">
        <v>198</v>
      </c>
      <c r="B108" s="47"/>
      <c r="C108" s="36" t="s">
        <v>16</v>
      </c>
      <c r="D108" s="70">
        <f>791.3-130</f>
        <v>661.3</v>
      </c>
      <c r="E108" s="70">
        <f>791.3-130</f>
        <v>661.3</v>
      </c>
      <c r="F108" s="70">
        <f>791.3-130</f>
        <v>661.3</v>
      </c>
      <c r="G108" s="70">
        <f>661/791*30.9</f>
        <v>25.821618204804043</v>
      </c>
    </row>
    <row r="109" spans="1:8" ht="45" x14ac:dyDescent="0.2">
      <c r="A109" s="6" t="s">
        <v>199</v>
      </c>
      <c r="B109" s="23"/>
      <c r="C109" s="36" t="s">
        <v>16</v>
      </c>
      <c r="D109" s="67">
        <v>1343.43</v>
      </c>
      <c r="E109" s="37">
        <v>1343.43</v>
      </c>
      <c r="F109" s="37">
        <v>1343.43</v>
      </c>
      <c r="G109" s="37">
        <v>35.25</v>
      </c>
    </row>
    <row r="110" spans="1:8" ht="45" x14ac:dyDescent="0.15">
      <c r="A110" s="6" t="s">
        <v>200</v>
      </c>
      <c r="B110" s="47" t="s">
        <v>201</v>
      </c>
      <c r="C110" s="36" t="s">
        <v>16</v>
      </c>
      <c r="D110" s="72">
        <v>1442.09</v>
      </c>
      <c r="E110" s="72">
        <v>1442.09</v>
      </c>
      <c r="F110" s="72">
        <v>1442.09</v>
      </c>
      <c r="G110" s="72">
        <v>37.18</v>
      </c>
    </row>
    <row r="111" spans="1:8" ht="15" x14ac:dyDescent="0.2">
      <c r="A111" s="6" t="s">
        <v>133</v>
      </c>
      <c r="B111" s="23" t="s">
        <v>202</v>
      </c>
      <c r="C111" s="36" t="s">
        <v>16</v>
      </c>
      <c r="D111" s="12">
        <v>0.63</v>
      </c>
      <c r="E111" s="12">
        <v>0.63</v>
      </c>
      <c r="F111" s="12">
        <v>0.63</v>
      </c>
      <c r="G111" s="12" t="s">
        <v>34</v>
      </c>
    </row>
    <row r="112" spans="1:8" ht="45" x14ac:dyDescent="0.2">
      <c r="A112" s="6" t="s">
        <v>203</v>
      </c>
      <c r="B112" s="47" t="s">
        <v>204</v>
      </c>
      <c r="C112" s="36" t="s">
        <v>16</v>
      </c>
      <c r="D112" s="73">
        <v>196.74610200000001</v>
      </c>
      <c r="E112" s="73">
        <v>196.74610200000001</v>
      </c>
      <c r="F112" s="73">
        <v>196.74610200000001</v>
      </c>
      <c r="G112" s="73">
        <v>14.867080874999999</v>
      </c>
    </row>
    <row r="113" spans="1:8" ht="45" x14ac:dyDescent="0.2">
      <c r="A113" s="6" t="s">
        <v>205</v>
      </c>
      <c r="B113" s="23"/>
      <c r="C113" s="36" t="s">
        <v>16</v>
      </c>
      <c r="D113" s="73">
        <v>384.00511920999998</v>
      </c>
      <c r="E113" s="73">
        <v>384.00511920999998</v>
      </c>
      <c r="F113" s="73">
        <v>384.00511920999998</v>
      </c>
      <c r="G113" s="73">
        <v>28.389894797</v>
      </c>
    </row>
    <row r="114" spans="1:8" ht="45" x14ac:dyDescent="0.2">
      <c r="A114" s="6" t="s">
        <v>206</v>
      </c>
      <c r="B114" s="47" t="s">
        <v>207</v>
      </c>
      <c r="C114" s="36" t="s">
        <v>16</v>
      </c>
      <c r="D114" s="59">
        <v>553.63363279999999</v>
      </c>
      <c r="E114" s="59">
        <v>553.63363279999999</v>
      </c>
      <c r="F114" s="59">
        <v>553.63363279999999</v>
      </c>
      <c r="G114" s="59">
        <v>22.687528740000001</v>
      </c>
    </row>
    <row r="115" spans="1:8" ht="45" x14ac:dyDescent="0.2">
      <c r="A115" s="6" t="s">
        <v>208</v>
      </c>
      <c r="B115" s="23"/>
      <c r="C115" s="36" t="s">
        <v>16</v>
      </c>
      <c r="D115" s="73">
        <v>219.4968825</v>
      </c>
      <c r="E115" s="73">
        <v>219.4968825</v>
      </c>
      <c r="F115" s="73">
        <v>219.4968825</v>
      </c>
      <c r="G115" s="73">
        <v>21.879757558000001</v>
      </c>
    </row>
    <row r="116" spans="1:8" ht="45" x14ac:dyDescent="0.2">
      <c r="A116" s="6" t="s">
        <v>209</v>
      </c>
      <c r="B116" s="23"/>
      <c r="C116" s="36" t="s">
        <v>16</v>
      </c>
      <c r="D116" s="73">
        <v>478.82852245999999</v>
      </c>
      <c r="E116" s="73">
        <v>478.82852245999999</v>
      </c>
      <c r="F116" s="73">
        <v>478.82852245999999</v>
      </c>
      <c r="G116" s="73">
        <v>67.990051414000007</v>
      </c>
    </row>
    <row r="117" spans="1:8" ht="45" x14ac:dyDescent="0.2">
      <c r="A117" s="6" t="s">
        <v>210</v>
      </c>
      <c r="C117" s="36" t="s">
        <v>16</v>
      </c>
      <c r="D117" s="59">
        <v>682.67427350000003</v>
      </c>
      <c r="E117" s="59">
        <v>682.67427350000003</v>
      </c>
      <c r="F117" s="59">
        <v>682.67427350000003</v>
      </c>
      <c r="G117" s="59">
        <v>29.806198169000002</v>
      </c>
    </row>
    <row r="118" spans="1:8" ht="30" x14ac:dyDescent="0.2">
      <c r="A118" s="38" t="s">
        <v>134</v>
      </c>
      <c r="B118" s="48"/>
      <c r="C118" s="36" t="s">
        <v>16</v>
      </c>
      <c r="D118" s="67">
        <v>70</v>
      </c>
      <c r="E118" s="37">
        <v>70</v>
      </c>
      <c r="F118" s="37">
        <v>70</v>
      </c>
      <c r="G118" s="37" t="s">
        <v>34</v>
      </c>
    </row>
    <row r="119" spans="1:8" ht="15" x14ac:dyDescent="0.2">
      <c r="A119" s="38" t="s">
        <v>135</v>
      </c>
      <c r="B119" s="48"/>
      <c r="C119" s="36" t="s">
        <v>16</v>
      </c>
      <c r="D119" s="75">
        <v>-248.58081899999999</v>
      </c>
      <c r="E119" s="75">
        <v>-248.58081899999999</v>
      </c>
      <c r="F119" s="75">
        <v>-248.58081899999999</v>
      </c>
      <c r="G119" s="73">
        <v>17.341517389</v>
      </c>
    </row>
    <row r="120" spans="1:8" ht="15" x14ac:dyDescent="0.2">
      <c r="A120" s="38" t="s">
        <v>136</v>
      </c>
      <c r="B120" s="48"/>
      <c r="C120" s="36" t="s">
        <v>16</v>
      </c>
      <c r="D120" s="75">
        <v>-138.68612999999999</v>
      </c>
      <c r="E120" s="75">
        <v>-138.68612999999999</v>
      </c>
      <c r="F120" s="75">
        <v>-138.68612999999999</v>
      </c>
      <c r="G120" s="73">
        <v>16.317845522999999</v>
      </c>
    </row>
    <row r="121" spans="1:8" ht="15" x14ac:dyDescent="0.2">
      <c r="A121" s="38" t="s">
        <v>137</v>
      </c>
      <c r="B121" s="48"/>
      <c r="C121" s="36" t="s">
        <v>16</v>
      </c>
      <c r="D121" s="75">
        <v>889.34240850000003</v>
      </c>
      <c r="E121" s="75">
        <v>889.34240850000003</v>
      </c>
      <c r="F121" s="75">
        <v>889.34240850000003</v>
      </c>
      <c r="G121" s="73">
        <v>31.843806775000001</v>
      </c>
    </row>
    <row r="122" spans="1:8" ht="15" x14ac:dyDescent="0.2">
      <c r="A122" s="38" t="s">
        <v>138</v>
      </c>
      <c r="B122" s="48"/>
      <c r="C122" s="36" t="s">
        <v>16</v>
      </c>
      <c r="D122" s="75">
        <v>4235.6185477999998</v>
      </c>
      <c r="E122" s="75">
        <v>4235.6185477999998</v>
      </c>
      <c r="F122" s="75">
        <v>4235.6185477999998</v>
      </c>
      <c r="G122" s="73">
        <v>63.173604574999999</v>
      </c>
    </row>
    <row r="123" spans="1:8" ht="15" x14ac:dyDescent="0.2">
      <c r="A123" s="38" t="s">
        <v>139</v>
      </c>
      <c r="B123" s="48"/>
      <c r="C123" s="36" t="s">
        <v>16</v>
      </c>
      <c r="D123" s="75">
        <v>-163.1373773</v>
      </c>
      <c r="E123" s="75">
        <v>-163.1373773</v>
      </c>
      <c r="F123" s="75">
        <v>-163.1373773</v>
      </c>
      <c r="G123" s="73">
        <v>28.703881439</v>
      </c>
    </row>
    <row r="124" spans="1:8" ht="15" x14ac:dyDescent="0.2">
      <c r="A124" s="38" t="s">
        <v>140</v>
      </c>
      <c r="B124" s="48"/>
      <c r="C124" s="36" t="s">
        <v>16</v>
      </c>
      <c r="D124" s="75">
        <v>-167.56542229999999</v>
      </c>
      <c r="E124" s="75">
        <v>-167.56542229999999</v>
      </c>
      <c r="F124" s="75">
        <v>-167.56542229999999</v>
      </c>
      <c r="G124" s="73">
        <v>16.744857088</v>
      </c>
    </row>
    <row r="125" spans="1:8" ht="15" x14ac:dyDescent="0.2">
      <c r="A125" s="38" t="s">
        <v>141</v>
      </c>
      <c r="B125" s="48"/>
      <c r="C125" s="36" t="s">
        <v>16</v>
      </c>
      <c r="D125" s="75">
        <v>-124.91186620000001</v>
      </c>
      <c r="E125" s="75">
        <v>-124.91186620000001</v>
      </c>
      <c r="F125" s="75">
        <v>-124.91186620000001</v>
      </c>
      <c r="G125" s="73">
        <v>13.061922490000001</v>
      </c>
    </row>
    <row r="126" spans="1:8" ht="15" x14ac:dyDescent="0.2">
      <c r="A126" s="38" t="s">
        <v>142</v>
      </c>
      <c r="B126" s="48"/>
      <c r="C126" s="36" t="s">
        <v>16</v>
      </c>
      <c r="D126" s="76">
        <v>101.53284407</v>
      </c>
      <c r="E126" s="76">
        <v>101.53284407</v>
      </c>
      <c r="F126" s="76">
        <v>101.53284407</v>
      </c>
      <c r="G126" s="59">
        <v>6.5989592819</v>
      </c>
    </row>
    <row r="127" spans="1:8" ht="31" thickBot="1" x14ac:dyDescent="0.25">
      <c r="A127" s="44" t="s">
        <v>143</v>
      </c>
      <c r="B127" s="69"/>
      <c r="C127" s="36" t="s">
        <v>16</v>
      </c>
      <c r="D127" s="77">
        <v>-127.77385049999999</v>
      </c>
      <c r="E127" s="77">
        <v>-127.77385049999999</v>
      </c>
      <c r="F127" s="77">
        <v>-127.77385049999999</v>
      </c>
      <c r="G127" s="77">
        <v>39.695291662000002</v>
      </c>
    </row>
    <row r="128" spans="1:8" ht="15" thickBot="1" x14ac:dyDescent="0.25">
      <c r="A128" s="141" t="s">
        <v>144</v>
      </c>
      <c r="B128" s="142"/>
      <c r="C128" s="142"/>
      <c r="D128" s="142"/>
      <c r="E128" s="142"/>
      <c r="F128" s="142"/>
      <c r="G128" s="142"/>
      <c r="H128" s="143"/>
    </row>
    <row r="129" spans="1:8" ht="60" x14ac:dyDescent="0.2">
      <c r="A129" s="60" t="s">
        <v>211</v>
      </c>
      <c r="B129" s="78" t="s">
        <v>212</v>
      </c>
      <c r="C129" s="106" t="s">
        <v>243</v>
      </c>
      <c r="D129" s="102" t="s">
        <v>244</v>
      </c>
      <c r="E129" s="102" t="s">
        <v>244</v>
      </c>
      <c r="F129" s="84" t="s">
        <v>240</v>
      </c>
      <c r="G129" s="84" t="s">
        <v>241</v>
      </c>
      <c r="H129" s="80" t="s">
        <v>242</v>
      </c>
    </row>
    <row r="130" spans="1:8" ht="30" x14ac:dyDescent="0.2">
      <c r="A130" s="54" t="s">
        <v>214</v>
      </c>
      <c r="B130" s="48" t="s">
        <v>215</v>
      </c>
      <c r="C130" s="120" t="s">
        <v>243</v>
      </c>
      <c r="D130" s="102" t="s">
        <v>244</v>
      </c>
      <c r="E130" s="102" t="s">
        <v>244</v>
      </c>
      <c r="F130" s="140"/>
      <c r="G130" s="140"/>
      <c r="H130" s="82" t="s">
        <v>145</v>
      </c>
    </row>
    <row r="131" spans="1:8" ht="36" customHeight="1" x14ac:dyDescent="0.2">
      <c r="A131" s="122" t="s">
        <v>146</v>
      </c>
      <c r="B131" s="38"/>
      <c r="C131" s="120" t="s">
        <v>243</v>
      </c>
      <c r="D131" s="81" t="s">
        <v>147</v>
      </c>
      <c r="E131" s="57" t="s">
        <v>147</v>
      </c>
      <c r="F131" s="57" t="s">
        <v>147</v>
      </c>
      <c r="G131" s="57" t="s">
        <v>147</v>
      </c>
      <c r="H131" s="124" t="s">
        <v>232</v>
      </c>
    </row>
    <row r="132" spans="1:8" ht="69" customHeight="1" x14ac:dyDescent="0.2">
      <c r="A132" s="123"/>
      <c r="B132" s="78" t="s">
        <v>217</v>
      </c>
      <c r="C132" s="120" t="s">
        <v>243</v>
      </c>
      <c r="D132" s="102" t="s">
        <v>244</v>
      </c>
      <c r="E132" s="102" t="s">
        <v>244</v>
      </c>
      <c r="F132" s="83">
        <v>10.75</v>
      </c>
      <c r="G132" s="83">
        <v>0.32349500000000003</v>
      </c>
      <c r="H132" s="126"/>
    </row>
    <row r="133" spans="1:8" ht="30" x14ac:dyDescent="0.2">
      <c r="A133" s="38" t="s">
        <v>218</v>
      </c>
      <c r="B133" s="48" t="s">
        <v>219</v>
      </c>
      <c r="C133" s="120" t="s">
        <v>243</v>
      </c>
      <c r="D133" s="102" t="s">
        <v>244</v>
      </c>
      <c r="E133" s="102" t="s">
        <v>244</v>
      </c>
      <c r="F133" s="140" t="s">
        <v>233</v>
      </c>
      <c r="G133" s="140"/>
      <c r="H133" s="82" t="s">
        <v>148</v>
      </c>
    </row>
    <row r="134" spans="1:8" ht="29.5" customHeight="1" x14ac:dyDescent="0.2">
      <c r="A134" s="144" t="s">
        <v>149</v>
      </c>
      <c r="B134" s="38"/>
      <c r="C134" s="120" t="s">
        <v>243</v>
      </c>
      <c r="D134" s="81" t="s">
        <v>150</v>
      </c>
      <c r="E134" s="57" t="s">
        <v>150</v>
      </c>
      <c r="F134" s="57" t="s">
        <v>150</v>
      </c>
      <c r="G134" s="57" t="s">
        <v>150</v>
      </c>
      <c r="H134" s="124" t="s">
        <v>234</v>
      </c>
    </row>
    <row r="135" spans="1:8" ht="76.5" customHeight="1" x14ac:dyDescent="0.2">
      <c r="A135" s="145"/>
      <c r="B135" s="78" t="s">
        <v>220</v>
      </c>
      <c r="C135" s="120" t="s">
        <v>243</v>
      </c>
      <c r="D135" s="102" t="s">
        <v>244</v>
      </c>
      <c r="E135" s="102" t="s">
        <v>244</v>
      </c>
      <c r="F135" s="83">
        <v>9.77</v>
      </c>
      <c r="G135" s="83">
        <v>0.44891999999999999</v>
      </c>
      <c r="H135" s="126"/>
    </row>
    <row r="136" spans="1:8" ht="30" x14ac:dyDescent="0.2">
      <c r="A136" s="38" t="s">
        <v>221</v>
      </c>
      <c r="B136" s="48" t="s">
        <v>222</v>
      </c>
      <c r="C136" s="120" t="s">
        <v>243</v>
      </c>
      <c r="D136" s="102" t="s">
        <v>244</v>
      </c>
      <c r="E136" s="102" t="s">
        <v>244</v>
      </c>
      <c r="F136" s="140" t="s">
        <v>235</v>
      </c>
      <c r="G136" s="140"/>
      <c r="H136" s="82" t="s">
        <v>148</v>
      </c>
    </row>
    <row r="137" spans="1:8" ht="28.5" customHeight="1" x14ac:dyDescent="0.2">
      <c r="A137" s="122" t="s">
        <v>151</v>
      </c>
      <c r="B137" s="133" t="s">
        <v>223</v>
      </c>
      <c r="C137" s="120" t="s">
        <v>243</v>
      </c>
      <c r="D137" s="81" t="s">
        <v>147</v>
      </c>
      <c r="E137" s="57" t="s">
        <v>147</v>
      </c>
      <c r="F137" s="57" t="s">
        <v>147</v>
      </c>
      <c r="G137" s="57" t="s">
        <v>147</v>
      </c>
      <c r="H137" s="124" t="s">
        <v>224</v>
      </c>
    </row>
    <row r="138" spans="1:8" ht="28.5" customHeight="1" x14ac:dyDescent="0.2">
      <c r="A138" s="123"/>
      <c r="B138" s="134"/>
      <c r="C138" s="120" t="s">
        <v>243</v>
      </c>
      <c r="D138" s="83"/>
      <c r="E138" s="83"/>
      <c r="F138" s="83">
        <v>7.9251909154751132</v>
      </c>
      <c r="G138" s="83">
        <v>0.13205429864253396</v>
      </c>
      <c r="H138" s="125"/>
    </row>
    <row r="139" spans="1:8" ht="28.5" customHeight="1" x14ac:dyDescent="0.2">
      <c r="A139" s="122" t="s">
        <v>152</v>
      </c>
      <c r="B139" s="127" t="s">
        <v>225</v>
      </c>
      <c r="C139" s="120" t="s">
        <v>243</v>
      </c>
      <c r="D139" s="81" t="s">
        <v>150</v>
      </c>
      <c r="E139" s="57" t="s">
        <v>150</v>
      </c>
      <c r="F139" s="57" t="s">
        <v>150</v>
      </c>
      <c r="G139" s="57" t="s">
        <v>150</v>
      </c>
      <c r="H139" s="125"/>
    </row>
    <row r="140" spans="1:8" ht="28.5" customHeight="1" x14ac:dyDescent="0.2">
      <c r="A140" s="123"/>
      <c r="B140" s="128"/>
      <c r="C140" s="120" t="s">
        <v>243</v>
      </c>
      <c r="D140" s="102" t="s">
        <v>244</v>
      </c>
      <c r="E140" s="102" t="s">
        <v>244</v>
      </c>
      <c r="F140" s="88">
        <v>7.5124781408144798</v>
      </c>
      <c r="G140" s="88">
        <v>9.730316742081449E-2</v>
      </c>
      <c r="H140" s="126"/>
    </row>
    <row r="141" spans="1:8" ht="28.5" customHeight="1" thickBot="1" x14ac:dyDescent="0.25">
      <c r="A141" s="44" t="s">
        <v>153</v>
      </c>
      <c r="B141" s="78" t="s">
        <v>226</v>
      </c>
      <c r="C141" s="121" t="s">
        <v>243</v>
      </c>
      <c r="D141" s="102" t="s">
        <v>244</v>
      </c>
      <c r="E141" s="102" t="s">
        <v>244</v>
      </c>
      <c r="F141" s="88">
        <f>2.81*768*768/(1024*1024)</f>
        <v>1.5806249999999999</v>
      </c>
      <c r="G141" s="88">
        <f>0.05*768*768/(1024*1024)</f>
        <v>2.8125000000000004E-2</v>
      </c>
      <c r="H141" s="90" t="s">
        <v>227</v>
      </c>
    </row>
    <row r="142" spans="1:8" ht="15" thickBot="1" x14ac:dyDescent="0.25">
      <c r="A142" s="129" t="s">
        <v>154</v>
      </c>
      <c r="B142" s="130"/>
      <c r="C142" s="130"/>
      <c r="D142" s="130"/>
      <c r="E142" s="130"/>
      <c r="F142" s="131"/>
      <c r="G142" s="131"/>
      <c r="H142" s="132"/>
    </row>
    <row r="143" spans="1:8" ht="53.25" customHeight="1" x14ac:dyDescent="0.2">
      <c r="A143" s="60" t="s">
        <v>155</v>
      </c>
      <c r="B143" s="60"/>
      <c r="C143" s="33" t="s">
        <v>16</v>
      </c>
      <c r="D143" s="61" t="s">
        <v>228</v>
      </c>
      <c r="E143" s="34" t="s">
        <v>228</v>
      </c>
      <c r="F143" s="34" t="s">
        <v>228</v>
      </c>
      <c r="G143" s="35" t="s">
        <v>34</v>
      </c>
      <c r="H143" s="91"/>
    </row>
    <row r="144" spans="1:8" ht="30" x14ac:dyDescent="0.2">
      <c r="A144" s="38" t="s">
        <v>229</v>
      </c>
      <c r="B144" s="38"/>
      <c r="C144" s="36" t="s">
        <v>16</v>
      </c>
      <c r="D144" s="92">
        <f>(D40+3.54*D43+D45+D110)/1000</f>
        <v>7.1551299999999998</v>
      </c>
      <c r="E144" s="92">
        <f>(E40+3.54*E43+E45+E110)/1000</f>
        <v>7.1551299999999998</v>
      </c>
      <c r="F144" s="92">
        <f>(F40+3.54*F43+F45+F110)/1000</f>
        <v>7.1551299999999998</v>
      </c>
      <c r="G144" s="92">
        <v>7.0000000000000007E-2</v>
      </c>
      <c r="H144" s="82"/>
    </row>
  </sheetData>
  <mergeCells count="52">
    <mergeCell ref="A39:H39"/>
    <mergeCell ref="H40:H42"/>
    <mergeCell ref="A2:H2"/>
    <mergeCell ref="H3:H14"/>
    <mergeCell ref="E8:G8"/>
    <mergeCell ref="A15:H15"/>
    <mergeCell ref="H21:H25"/>
    <mergeCell ref="B26:B29"/>
    <mergeCell ref="B30:B34"/>
    <mergeCell ref="A35:A37"/>
    <mergeCell ref="G35:G37"/>
    <mergeCell ref="H45:H46"/>
    <mergeCell ref="A58:H58"/>
    <mergeCell ref="H59:H105"/>
    <mergeCell ref="F60:G60"/>
    <mergeCell ref="F65:G65"/>
    <mergeCell ref="A69:A70"/>
    <mergeCell ref="A98:A100"/>
    <mergeCell ref="C59:G59"/>
    <mergeCell ref="E66:G66"/>
    <mergeCell ref="E67:G67"/>
    <mergeCell ref="A82:A84"/>
    <mergeCell ref="G82:G84"/>
    <mergeCell ref="A86:A88"/>
    <mergeCell ref="G86:G88"/>
    <mergeCell ref="E68:G68"/>
    <mergeCell ref="F136:G136"/>
    <mergeCell ref="G98:G100"/>
    <mergeCell ref="A102:A104"/>
    <mergeCell ref="G102:G104"/>
    <mergeCell ref="A106:H106"/>
    <mergeCell ref="A128:H128"/>
    <mergeCell ref="F130:G130"/>
    <mergeCell ref="A131:A132"/>
    <mergeCell ref="H131:H132"/>
    <mergeCell ref="F133:G133"/>
    <mergeCell ref="A134:A135"/>
    <mergeCell ref="H134:H135"/>
    <mergeCell ref="A94:A96"/>
    <mergeCell ref="G94:G96"/>
    <mergeCell ref="A71:A72"/>
    <mergeCell ref="A73:A75"/>
    <mergeCell ref="G73:G75"/>
    <mergeCell ref="F76:G76"/>
    <mergeCell ref="A78:A80"/>
    <mergeCell ref="G78:G80"/>
    <mergeCell ref="A137:A138"/>
    <mergeCell ref="H137:H140"/>
    <mergeCell ref="A139:A140"/>
    <mergeCell ref="B139:B140"/>
    <mergeCell ref="A142:H142"/>
    <mergeCell ref="B137:B13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9874-7167-4F70-BF57-8DA9A9C93011}">
  <dimension ref="A1:B3"/>
  <sheetViews>
    <sheetView zoomScale="250" zoomScaleNormal="250" workbookViewId="0">
      <selection activeCell="B14" sqref="B14"/>
    </sheetView>
  </sheetViews>
  <sheetFormatPr baseColWidth="10" defaultColWidth="8.83203125" defaultRowHeight="15" x14ac:dyDescent="0.2"/>
  <cols>
    <col min="2" max="2" width="30.6640625" bestFit="1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s="2" t="s">
        <v>2</v>
      </c>
      <c r="B2" s="1" t="s">
        <v>3</v>
      </c>
    </row>
    <row r="3" spans="1:2" x14ac:dyDescent="0.2">
      <c r="A3" s="3" t="s">
        <v>4</v>
      </c>
      <c r="B3" s="1" t="s">
        <v>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45ABF-2E51-40EC-8423-D8CD366B1CF6}">
  <sheetPr>
    <tabColor theme="1"/>
  </sheetPr>
  <dimension ref="A1"/>
  <sheetViews>
    <sheetView workbookViewId="0">
      <selection activeCell="I31" sqref="I31"/>
    </sheetView>
  </sheetViews>
  <sheetFormatPr baseColWidth="10" defaultColWidth="8.83203125" defaultRowHeight="15" x14ac:dyDescent="0.2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C1B4-332E-43BB-9011-A7B1228C3A4B}">
  <dimension ref="A1:H144"/>
  <sheetViews>
    <sheetView workbookViewId="0">
      <selection activeCell="A35" sqref="A35:A37"/>
    </sheetView>
  </sheetViews>
  <sheetFormatPr baseColWidth="10" defaultColWidth="8.83203125" defaultRowHeight="14" x14ac:dyDescent="0.2"/>
  <cols>
    <col min="1" max="1" width="81.6640625" style="54" customWidth="1"/>
    <col min="2" max="2" width="46" style="54" hidden="1" customWidth="1"/>
    <col min="3" max="3" width="17" style="74" bestFit="1" customWidth="1"/>
    <col min="4" max="4" width="17" style="54" customWidth="1"/>
    <col min="5" max="6" width="19.1640625" style="62" bestFit="1" customWidth="1"/>
    <col min="7" max="7" width="29.1640625" style="62" customWidth="1"/>
    <col min="8" max="8" width="79.83203125" style="32" customWidth="1"/>
    <col min="9" max="16384" width="8.83203125" style="32"/>
  </cols>
  <sheetData>
    <row r="1" spans="1:8" ht="31" thickBot="1" x14ac:dyDescent="0.25">
      <c r="A1" s="28" t="s">
        <v>6</v>
      </c>
      <c r="B1" s="29" t="s">
        <v>156</v>
      </c>
      <c r="C1" s="28"/>
      <c r="D1" s="29"/>
      <c r="E1" s="30" t="s">
        <v>157</v>
      </c>
      <c r="F1" s="30" t="s">
        <v>158</v>
      </c>
      <c r="G1" s="30" t="s">
        <v>159</v>
      </c>
      <c r="H1" s="31" t="s">
        <v>7</v>
      </c>
    </row>
    <row r="2" spans="1:8" ht="15" thickBot="1" x14ac:dyDescent="0.25">
      <c r="A2" s="141" t="s">
        <v>8</v>
      </c>
      <c r="B2" s="142"/>
      <c r="C2" s="142"/>
      <c r="D2" s="142"/>
      <c r="E2" s="142"/>
      <c r="F2" s="142"/>
      <c r="G2" s="142"/>
      <c r="H2" s="143"/>
    </row>
    <row r="3" spans="1:8" ht="14" customHeight="1" x14ac:dyDescent="0.2">
      <c r="A3" s="33" t="s">
        <v>9</v>
      </c>
      <c r="B3" s="33"/>
      <c r="C3" s="34" t="s">
        <v>10</v>
      </c>
      <c r="D3" s="33"/>
      <c r="E3" s="35">
        <f>5*2.5</f>
        <v>12.5</v>
      </c>
      <c r="F3" s="35">
        <f>5*2.5</f>
        <v>12.5</v>
      </c>
      <c r="G3" s="35">
        <f>0.3*2.5</f>
        <v>0.75</v>
      </c>
      <c r="H3" s="159" t="s">
        <v>160</v>
      </c>
    </row>
    <row r="4" spans="1:8" ht="29" customHeight="1" x14ac:dyDescent="0.2">
      <c r="A4" s="36" t="s">
        <v>11</v>
      </c>
      <c r="B4" s="36"/>
      <c r="C4" s="34" t="s">
        <v>10</v>
      </c>
      <c r="D4" s="33"/>
      <c r="E4" s="37">
        <f>2.5*2.5</f>
        <v>6.25</v>
      </c>
      <c r="F4" s="37">
        <f>2.5*2.5</f>
        <v>6.25</v>
      </c>
      <c r="G4" s="37">
        <f>0.2*2.5</f>
        <v>0.5</v>
      </c>
      <c r="H4" s="160"/>
    </row>
    <row r="5" spans="1:8" ht="28.25" customHeight="1" x14ac:dyDescent="0.2">
      <c r="A5" s="36" t="s">
        <v>12</v>
      </c>
      <c r="B5" s="36"/>
      <c r="C5" s="34" t="s">
        <v>10</v>
      </c>
      <c r="D5" s="33"/>
      <c r="E5" s="37">
        <f>0.63*2.5</f>
        <v>1.575</v>
      </c>
      <c r="F5" s="37">
        <f>0.63*2.5</f>
        <v>1.575</v>
      </c>
      <c r="G5" s="37">
        <f>0.08*2.5</f>
        <v>0.2</v>
      </c>
      <c r="H5" s="160"/>
    </row>
    <row r="6" spans="1:8" ht="15" x14ac:dyDescent="0.2">
      <c r="A6" s="36" t="s">
        <v>13</v>
      </c>
      <c r="B6" s="36"/>
      <c r="C6" s="34" t="s">
        <v>10</v>
      </c>
      <c r="D6" s="33"/>
      <c r="E6" s="37">
        <f>4*2.5</f>
        <v>10</v>
      </c>
      <c r="F6" s="37">
        <f>4*2.5</f>
        <v>10</v>
      </c>
      <c r="G6" s="37">
        <f>0.5*2.5</f>
        <v>1.25</v>
      </c>
      <c r="H6" s="160"/>
    </row>
    <row r="7" spans="1:8" ht="15" x14ac:dyDescent="0.2">
      <c r="A7" s="36" t="s">
        <v>14</v>
      </c>
      <c r="B7" s="36"/>
      <c r="C7" s="34" t="s">
        <v>10</v>
      </c>
      <c r="D7" s="33"/>
      <c r="E7" s="37">
        <f>1.4*2.5</f>
        <v>3.5</v>
      </c>
      <c r="F7" s="37">
        <f>1.4*2.5</f>
        <v>3.5</v>
      </c>
      <c r="G7" s="37">
        <v>0.1</v>
      </c>
      <c r="H7" s="160"/>
    </row>
    <row r="8" spans="1:8" ht="44.5" customHeight="1" x14ac:dyDescent="0.15">
      <c r="A8" s="36" t="s">
        <v>15</v>
      </c>
      <c r="B8" s="38"/>
      <c r="C8" s="39" t="s">
        <v>16</v>
      </c>
      <c r="D8" s="40"/>
      <c r="E8" s="40"/>
      <c r="F8" s="167"/>
      <c r="G8" s="167"/>
      <c r="H8" s="160"/>
    </row>
    <row r="9" spans="1:8" ht="15" x14ac:dyDescent="0.2">
      <c r="A9" s="36" t="s">
        <v>17</v>
      </c>
      <c r="B9" s="38"/>
      <c r="C9" s="41" t="s">
        <v>16</v>
      </c>
      <c r="D9" s="38"/>
      <c r="E9" s="37">
        <f>1.136*2.5</f>
        <v>2.84</v>
      </c>
      <c r="F9" s="37">
        <f>1.136*2.5</f>
        <v>2.84</v>
      </c>
      <c r="G9" s="42" t="s">
        <v>18</v>
      </c>
      <c r="H9" s="160"/>
    </row>
    <row r="10" spans="1:8" ht="15" x14ac:dyDescent="0.2">
      <c r="A10" s="36" t="s">
        <v>19</v>
      </c>
      <c r="B10" s="38"/>
      <c r="C10" s="41" t="s">
        <v>16</v>
      </c>
      <c r="D10" s="38"/>
      <c r="E10" s="37">
        <f>7.021*2.5</f>
        <v>17.552499999999998</v>
      </c>
      <c r="F10" s="37">
        <f>7.021*2.5</f>
        <v>17.552499999999998</v>
      </c>
      <c r="G10" s="42" t="s">
        <v>18</v>
      </c>
      <c r="H10" s="160"/>
    </row>
    <row r="11" spans="1:8" ht="15" x14ac:dyDescent="0.2">
      <c r="A11" s="36" t="s">
        <v>20</v>
      </c>
      <c r="B11" s="36"/>
      <c r="C11" s="34" t="s">
        <v>10</v>
      </c>
      <c r="D11" s="33"/>
      <c r="E11" s="37">
        <v>2712000000000</v>
      </c>
      <c r="F11" s="37">
        <v>2712000000000</v>
      </c>
      <c r="G11" s="37" t="s">
        <v>18</v>
      </c>
      <c r="H11" s="160"/>
    </row>
    <row r="12" spans="1:8" ht="15" x14ac:dyDescent="0.2">
      <c r="A12" s="36" t="s">
        <v>21</v>
      </c>
      <c r="B12" s="36"/>
      <c r="C12" s="34" t="s">
        <v>10</v>
      </c>
      <c r="D12" s="33"/>
      <c r="E12" s="37">
        <v>105000000000000</v>
      </c>
      <c r="F12" s="37">
        <v>105000000000000</v>
      </c>
      <c r="G12" s="37" t="s">
        <v>18</v>
      </c>
      <c r="H12" s="160"/>
    </row>
    <row r="13" spans="1:8" ht="15" x14ac:dyDescent="0.2">
      <c r="A13" s="36" t="s">
        <v>22</v>
      </c>
      <c r="B13" s="36"/>
      <c r="C13" s="39" t="s">
        <v>16</v>
      </c>
      <c r="D13" s="40"/>
      <c r="E13" s="37">
        <v>0.1157</v>
      </c>
      <c r="F13" s="37">
        <v>0.1157</v>
      </c>
      <c r="G13" s="37" t="s">
        <v>18</v>
      </c>
      <c r="H13" s="160"/>
    </row>
    <row r="14" spans="1:8" ht="16" thickBot="1" x14ac:dyDescent="0.25">
      <c r="A14" s="43" t="s">
        <v>23</v>
      </c>
      <c r="B14" s="43"/>
      <c r="C14" s="41" t="s">
        <v>16</v>
      </c>
      <c r="D14" s="44"/>
      <c r="E14" s="42">
        <v>6.0539999999999997E-2</v>
      </c>
      <c r="F14" s="42">
        <v>6.0539999999999997E-2</v>
      </c>
      <c r="G14" s="42" t="s">
        <v>18</v>
      </c>
      <c r="H14" s="161"/>
    </row>
    <row r="15" spans="1:8" ht="15" thickBot="1" x14ac:dyDescent="0.25">
      <c r="A15" s="141" t="s">
        <v>24</v>
      </c>
      <c r="B15" s="142"/>
      <c r="C15" s="142"/>
      <c r="D15" s="142"/>
      <c r="E15" s="142"/>
      <c r="F15" s="142"/>
      <c r="G15" s="142"/>
      <c r="H15" s="143"/>
    </row>
    <row r="16" spans="1:8" ht="27.5" customHeight="1" x14ac:dyDescent="0.2">
      <c r="A16" s="33" t="s">
        <v>25</v>
      </c>
      <c r="B16" s="25" t="s">
        <v>161</v>
      </c>
      <c r="C16" s="9" t="s">
        <v>16</v>
      </c>
      <c r="D16" s="10"/>
      <c r="E16" s="45">
        <v>4467</v>
      </c>
      <c r="F16" s="45">
        <v>4467</v>
      </c>
      <c r="G16" s="45">
        <v>43</v>
      </c>
      <c r="H16" s="46" t="s">
        <v>26</v>
      </c>
    </row>
    <row r="17" spans="1:8" ht="15" x14ac:dyDescent="0.2">
      <c r="A17" s="36" t="s">
        <v>27</v>
      </c>
      <c r="B17" s="47" t="s">
        <v>162</v>
      </c>
      <c r="C17" s="5" t="s">
        <v>16</v>
      </c>
      <c r="D17" s="11"/>
      <c r="E17" s="37">
        <v>-5.5</v>
      </c>
      <c r="F17" s="37">
        <v>-5.5</v>
      </c>
      <c r="G17" s="37">
        <v>0.53</v>
      </c>
      <c r="H17" s="46"/>
    </row>
    <row r="18" spans="1:8" ht="15" x14ac:dyDescent="0.2">
      <c r="A18" s="36" t="s">
        <v>28</v>
      </c>
      <c r="B18" s="47" t="s">
        <v>163</v>
      </c>
      <c r="C18" s="5" t="s">
        <v>16</v>
      </c>
      <c r="D18" s="11"/>
      <c r="E18" s="37">
        <v>95.9</v>
      </c>
      <c r="F18" s="37">
        <v>95.9</v>
      </c>
      <c r="G18" s="37">
        <v>2.6</v>
      </c>
      <c r="H18" s="46"/>
    </row>
    <row r="19" spans="1:8" ht="15" x14ac:dyDescent="0.2">
      <c r="A19" s="36" t="s">
        <v>29</v>
      </c>
      <c r="B19" s="47" t="s">
        <v>164</v>
      </c>
      <c r="C19" s="5" t="s">
        <v>16</v>
      </c>
      <c r="D19" s="11"/>
      <c r="E19" s="12">
        <v>0</v>
      </c>
      <c r="F19" s="12">
        <v>0</v>
      </c>
      <c r="G19" s="37" t="s">
        <v>18</v>
      </c>
      <c r="H19" s="46"/>
    </row>
    <row r="20" spans="1:8" ht="15" x14ac:dyDescent="0.2">
      <c r="A20" s="36" t="s">
        <v>30</v>
      </c>
      <c r="B20" s="47" t="s">
        <v>165</v>
      </c>
      <c r="C20" s="13" t="s">
        <v>16</v>
      </c>
      <c r="D20" s="14"/>
      <c r="E20" s="37">
        <v>51.1</v>
      </c>
      <c r="F20" s="37">
        <v>51.1</v>
      </c>
      <c r="G20" s="37">
        <v>9.4</v>
      </c>
      <c r="H20" s="46"/>
    </row>
    <row r="21" spans="1:8" ht="15" x14ac:dyDescent="0.2">
      <c r="A21" s="36" t="s">
        <v>31</v>
      </c>
      <c r="B21" s="47"/>
      <c r="C21" s="13" t="s">
        <v>16</v>
      </c>
      <c r="D21" s="14"/>
      <c r="E21" s="37">
        <v>58</v>
      </c>
      <c r="F21" s="37">
        <v>58</v>
      </c>
      <c r="G21" s="37">
        <v>11</v>
      </c>
      <c r="H21" s="160" t="s">
        <v>166</v>
      </c>
    </row>
    <row r="22" spans="1:8" ht="15" x14ac:dyDescent="0.2">
      <c r="A22" s="36" t="s">
        <v>32</v>
      </c>
      <c r="B22" s="48"/>
      <c r="C22" s="13" t="s">
        <v>16</v>
      </c>
      <c r="D22" s="14"/>
      <c r="E22" s="37">
        <v>82</v>
      </c>
      <c r="F22" s="37">
        <v>82</v>
      </c>
      <c r="G22" s="37">
        <v>21</v>
      </c>
      <c r="H22" s="162"/>
    </row>
    <row r="23" spans="1:8" ht="15" x14ac:dyDescent="0.2">
      <c r="A23" s="36" t="s">
        <v>33</v>
      </c>
      <c r="B23" s="48"/>
      <c r="C23" s="13" t="s">
        <v>16</v>
      </c>
      <c r="D23" s="14"/>
      <c r="E23" s="37">
        <v>0.18</v>
      </c>
      <c r="F23" s="37">
        <v>0.18</v>
      </c>
      <c r="G23" s="37" t="s">
        <v>34</v>
      </c>
      <c r="H23" s="162"/>
    </row>
    <row r="24" spans="1:8" ht="15" x14ac:dyDescent="0.2">
      <c r="A24" s="36" t="s">
        <v>35</v>
      </c>
      <c r="B24" s="48"/>
      <c r="C24" s="5" t="s">
        <v>16</v>
      </c>
      <c r="D24" s="11"/>
      <c r="E24" s="37">
        <v>42</v>
      </c>
      <c r="F24" s="37">
        <v>42</v>
      </c>
      <c r="G24" s="37">
        <v>12</v>
      </c>
      <c r="H24" s="162"/>
    </row>
    <row r="25" spans="1:8" ht="15" x14ac:dyDescent="0.2">
      <c r="A25" s="36" t="s">
        <v>36</v>
      </c>
      <c r="B25" s="48"/>
      <c r="C25" s="5" t="s">
        <v>16</v>
      </c>
      <c r="D25" s="11"/>
      <c r="E25" s="37">
        <v>80</v>
      </c>
      <c r="F25" s="37">
        <v>80</v>
      </c>
      <c r="G25" s="37">
        <v>10</v>
      </c>
      <c r="H25" s="162"/>
    </row>
    <row r="26" spans="1:8" ht="15" x14ac:dyDescent="0.2">
      <c r="A26" s="43" t="s">
        <v>37</v>
      </c>
      <c r="B26" s="133" t="s">
        <v>167</v>
      </c>
      <c r="C26" s="15" t="s">
        <v>16</v>
      </c>
      <c r="D26" s="16"/>
      <c r="E26" s="49">
        <v>17.350000000000001</v>
      </c>
      <c r="F26" s="49">
        <v>17.350000000000001</v>
      </c>
      <c r="G26" s="49">
        <v>0.68399999999999994</v>
      </c>
      <c r="H26" s="50"/>
    </row>
    <row r="27" spans="1:8" ht="15" x14ac:dyDescent="0.2">
      <c r="A27" s="43" t="s">
        <v>38</v>
      </c>
      <c r="B27" s="163"/>
      <c r="C27" s="17" t="s">
        <v>16</v>
      </c>
      <c r="D27" s="18"/>
      <c r="E27" s="49">
        <v>15.49</v>
      </c>
      <c r="F27" s="49">
        <v>15.49</v>
      </c>
      <c r="G27" s="49">
        <v>0.68399999999999994</v>
      </c>
      <c r="H27" s="50"/>
    </row>
    <row r="28" spans="1:8" ht="15" x14ac:dyDescent="0.2">
      <c r="A28" s="43" t="s">
        <v>39</v>
      </c>
      <c r="B28" s="163"/>
      <c r="C28" s="17" t="s">
        <v>16</v>
      </c>
      <c r="D28" s="18"/>
      <c r="E28" s="49">
        <v>15.49</v>
      </c>
      <c r="F28" s="49">
        <v>15.49</v>
      </c>
      <c r="G28" s="49">
        <v>0.68399999999999994</v>
      </c>
      <c r="H28" s="50"/>
    </row>
    <row r="29" spans="1:8" ht="15" x14ac:dyDescent="0.2">
      <c r="A29" s="43" t="s">
        <v>40</v>
      </c>
      <c r="B29" s="134"/>
      <c r="C29" s="17" t="s">
        <v>16</v>
      </c>
      <c r="D29" s="18"/>
      <c r="E29" s="49">
        <v>16.494</v>
      </c>
      <c r="F29" s="49">
        <v>16.494</v>
      </c>
      <c r="G29" s="49">
        <v>0.20400000000000001</v>
      </c>
      <c r="H29" s="50"/>
    </row>
    <row r="30" spans="1:8" ht="15" customHeight="1" x14ac:dyDescent="0.2">
      <c r="A30" s="43" t="s">
        <v>41</v>
      </c>
      <c r="B30" s="133" t="s">
        <v>168</v>
      </c>
      <c r="C30" s="15" t="s">
        <v>16</v>
      </c>
      <c r="D30" s="16"/>
      <c r="E30" s="49">
        <v>17.350000000000001</v>
      </c>
      <c r="F30" s="49">
        <v>17.350000000000001</v>
      </c>
      <c r="G30" s="49">
        <v>0.68399999999999994</v>
      </c>
      <c r="H30" s="50"/>
    </row>
    <row r="31" spans="1:8" ht="15" customHeight="1" x14ac:dyDescent="0.2">
      <c r="A31" s="43" t="s">
        <v>42</v>
      </c>
      <c r="B31" s="163"/>
      <c r="C31" s="15" t="s">
        <v>16</v>
      </c>
      <c r="D31" s="16"/>
      <c r="E31" s="49">
        <v>15.49</v>
      </c>
      <c r="F31" s="49">
        <v>15.49</v>
      </c>
      <c r="G31" s="49">
        <v>0.68399999999999994</v>
      </c>
      <c r="H31" s="50"/>
    </row>
    <row r="32" spans="1:8" ht="15" customHeight="1" x14ac:dyDescent="0.2">
      <c r="A32" s="43" t="s">
        <v>43</v>
      </c>
      <c r="B32" s="163"/>
      <c r="C32" s="17" t="s">
        <v>16</v>
      </c>
      <c r="D32" s="18"/>
      <c r="E32" s="49">
        <v>15.49</v>
      </c>
      <c r="F32" s="49">
        <v>15.49</v>
      </c>
      <c r="G32" s="49">
        <v>0.68399999999999994</v>
      </c>
      <c r="H32" s="50"/>
    </row>
    <row r="33" spans="1:8" ht="15" x14ac:dyDescent="0.2">
      <c r="A33" s="43" t="s">
        <v>44</v>
      </c>
      <c r="B33" s="163"/>
      <c r="C33" s="17" t="s">
        <v>16</v>
      </c>
      <c r="D33" s="18"/>
      <c r="E33" s="49">
        <v>38.22</v>
      </c>
      <c r="F33" s="49">
        <v>38.22</v>
      </c>
      <c r="G33" s="49">
        <v>1.3499999999999999</v>
      </c>
      <c r="H33" s="50"/>
    </row>
    <row r="34" spans="1:8" ht="15" x14ac:dyDescent="0.2">
      <c r="A34" s="43" t="s">
        <v>45</v>
      </c>
      <c r="B34" s="134"/>
      <c r="C34" s="17" t="s">
        <v>16</v>
      </c>
      <c r="D34" s="18"/>
      <c r="E34" s="49">
        <v>38.22</v>
      </c>
      <c r="F34" s="49">
        <v>38.22</v>
      </c>
      <c r="G34" s="49">
        <v>1.3499999999999999</v>
      </c>
      <c r="H34" s="50"/>
    </row>
    <row r="35" spans="1:8" x14ac:dyDescent="0.2">
      <c r="A35" s="122" t="s">
        <v>169</v>
      </c>
      <c r="B35" s="44"/>
      <c r="C35" s="5" t="s">
        <v>16</v>
      </c>
      <c r="D35" s="19"/>
      <c r="E35" s="51">
        <v>-32.9</v>
      </c>
      <c r="F35" s="51">
        <v>-32.9</v>
      </c>
      <c r="G35" s="168" t="s">
        <v>46</v>
      </c>
    </row>
    <row r="36" spans="1:8" x14ac:dyDescent="0.2">
      <c r="A36" s="164"/>
      <c r="B36" s="44"/>
      <c r="C36" s="5" t="s">
        <v>16</v>
      </c>
      <c r="D36" s="19"/>
      <c r="E36" s="51">
        <v>-70.900000000000006</v>
      </c>
      <c r="F36" s="51">
        <v>-70.900000000000006</v>
      </c>
      <c r="G36" s="169"/>
    </row>
    <row r="37" spans="1:8" x14ac:dyDescent="0.2">
      <c r="A37" s="123"/>
      <c r="B37" s="44"/>
      <c r="C37" s="5" t="s">
        <v>16</v>
      </c>
      <c r="D37" s="19"/>
      <c r="E37" s="51">
        <v>-16.5</v>
      </c>
      <c r="F37" s="51">
        <v>-16.5</v>
      </c>
      <c r="G37" s="169"/>
    </row>
    <row r="38" spans="1:8" ht="31" thickBot="1" x14ac:dyDescent="0.25">
      <c r="A38" s="43" t="s">
        <v>47</v>
      </c>
      <c r="B38" s="43"/>
      <c r="C38" s="5" t="s">
        <v>16</v>
      </c>
      <c r="D38" s="19"/>
      <c r="E38" s="20">
        <v>-2</v>
      </c>
      <c r="F38" s="20">
        <v>-2</v>
      </c>
      <c r="G38" s="52" t="s">
        <v>34</v>
      </c>
      <c r="H38" s="53" t="s">
        <v>170</v>
      </c>
    </row>
    <row r="39" spans="1:8" ht="15" thickBot="1" x14ac:dyDescent="0.25">
      <c r="A39" s="141" t="s">
        <v>48</v>
      </c>
      <c r="B39" s="142"/>
      <c r="C39" s="142"/>
      <c r="D39" s="142"/>
      <c r="E39" s="142"/>
      <c r="F39" s="142"/>
      <c r="G39" s="142"/>
      <c r="H39" s="143"/>
    </row>
    <row r="40" spans="1:8" ht="30" x14ac:dyDescent="0.2">
      <c r="A40" s="33" t="s">
        <v>49</v>
      </c>
      <c r="B40" s="25" t="s">
        <v>171</v>
      </c>
      <c r="C40" s="5" t="s">
        <v>16</v>
      </c>
      <c r="D40" s="11"/>
      <c r="E40" s="45">
        <v>5376</v>
      </c>
      <c r="F40" s="45">
        <v>5376</v>
      </c>
      <c r="G40" s="45">
        <v>41</v>
      </c>
      <c r="H40" s="157" t="s">
        <v>50</v>
      </c>
    </row>
    <row r="41" spans="1:8" ht="15" x14ac:dyDescent="0.2">
      <c r="A41" s="36" t="s">
        <v>51</v>
      </c>
      <c r="C41" s="5" t="s">
        <v>16</v>
      </c>
      <c r="D41" s="11"/>
      <c r="E41" s="45">
        <v>909</v>
      </c>
      <c r="F41" s="45">
        <v>909</v>
      </c>
      <c r="G41" s="45">
        <v>28</v>
      </c>
      <c r="H41" s="158"/>
    </row>
    <row r="42" spans="1:8" ht="15" x14ac:dyDescent="0.2">
      <c r="A42" s="36" t="s">
        <v>52</v>
      </c>
      <c r="B42" s="47" t="s">
        <v>172</v>
      </c>
      <c r="C42" s="5" t="s">
        <v>16</v>
      </c>
      <c r="D42" s="11"/>
      <c r="E42" s="37">
        <v>-9</v>
      </c>
      <c r="F42" s="37">
        <v>-9</v>
      </c>
      <c r="G42" s="37">
        <v>0.27</v>
      </c>
      <c r="H42" s="158"/>
    </row>
    <row r="43" spans="1:8" ht="15" x14ac:dyDescent="0.2">
      <c r="A43" s="36" t="s">
        <v>53</v>
      </c>
      <c r="B43" s="47" t="s">
        <v>173</v>
      </c>
      <c r="C43" s="5" t="s">
        <v>16</v>
      </c>
      <c r="D43" s="11"/>
      <c r="E43" s="37">
        <v>76</v>
      </c>
      <c r="F43" s="37">
        <v>76</v>
      </c>
      <c r="G43" s="37">
        <v>1.9</v>
      </c>
      <c r="H43" s="53"/>
    </row>
    <row r="44" spans="1:8" ht="45" x14ac:dyDescent="0.2">
      <c r="A44" s="36" t="s">
        <v>54</v>
      </c>
      <c r="B44" s="47" t="s">
        <v>174</v>
      </c>
      <c r="C44" s="5" t="s">
        <v>16</v>
      </c>
      <c r="D44" s="11"/>
      <c r="E44" s="37">
        <v>0.03</v>
      </c>
      <c r="F44" s="37">
        <v>0.03</v>
      </c>
      <c r="G44" s="37" t="s">
        <v>34</v>
      </c>
      <c r="H44" s="53" t="s">
        <v>166</v>
      </c>
    </row>
    <row r="45" spans="1:8" ht="15" x14ac:dyDescent="0.2">
      <c r="A45" s="36" t="s">
        <v>55</v>
      </c>
      <c r="B45" s="47" t="s">
        <v>165</v>
      </c>
      <c r="C45" s="5" t="s">
        <v>16</v>
      </c>
      <c r="D45" s="11"/>
      <c r="E45" s="37">
        <v>68</v>
      </c>
      <c r="F45" s="37">
        <v>68</v>
      </c>
      <c r="G45" s="37">
        <v>9.6</v>
      </c>
      <c r="H45" s="146" t="s">
        <v>175</v>
      </c>
    </row>
    <row r="46" spans="1:8" ht="15" x14ac:dyDescent="0.2">
      <c r="A46" s="36" t="s">
        <v>56</v>
      </c>
      <c r="C46" s="5" t="s">
        <v>57</v>
      </c>
      <c r="D46" s="11"/>
      <c r="E46" s="45">
        <f>99.5*0.6</f>
        <v>59.699999999999996</v>
      </c>
      <c r="F46" s="45">
        <f>99.5*0.6</f>
        <v>59.699999999999996</v>
      </c>
      <c r="G46" s="45">
        <v>1.27</v>
      </c>
      <c r="H46" s="146"/>
    </row>
    <row r="47" spans="1:8" ht="15" x14ac:dyDescent="0.2">
      <c r="A47" s="36" t="s">
        <v>58</v>
      </c>
      <c r="B47" s="48" t="s">
        <v>176</v>
      </c>
      <c r="C47" s="5" t="s">
        <v>57</v>
      </c>
      <c r="D47" s="5">
        <v>60</v>
      </c>
      <c r="E47" s="55">
        <v>50</v>
      </c>
      <c r="F47" s="55">
        <v>67.08</v>
      </c>
      <c r="G47" s="55">
        <v>0.62</v>
      </c>
    </row>
    <row r="48" spans="1:8" ht="31.5" customHeight="1" x14ac:dyDescent="0.2">
      <c r="A48" s="36" t="s">
        <v>59</v>
      </c>
      <c r="B48" s="48"/>
      <c r="C48" s="17" t="s">
        <v>16</v>
      </c>
      <c r="D48" s="56"/>
      <c r="E48" s="55" t="s">
        <v>177</v>
      </c>
      <c r="F48" s="55" t="s">
        <v>177</v>
      </c>
      <c r="G48" s="55"/>
    </row>
    <row r="49" spans="1:8" ht="30" x14ac:dyDescent="0.2">
      <c r="A49" s="36" t="s">
        <v>60</v>
      </c>
      <c r="B49" s="48"/>
      <c r="C49" s="5" t="s">
        <v>61</v>
      </c>
      <c r="D49" s="11"/>
      <c r="E49" s="57">
        <v>-4.5</v>
      </c>
      <c r="F49" s="57">
        <v>-4.5</v>
      </c>
      <c r="G49" s="37" t="s">
        <v>34</v>
      </c>
      <c r="H49" s="53" t="s">
        <v>170</v>
      </c>
    </row>
    <row r="50" spans="1:8" ht="30" x14ac:dyDescent="0.2">
      <c r="A50" s="36" t="s">
        <v>62</v>
      </c>
      <c r="B50" s="48"/>
      <c r="C50" s="5" t="s">
        <v>16</v>
      </c>
      <c r="D50" s="11"/>
      <c r="E50" s="58">
        <f>1.08*E47</f>
        <v>54</v>
      </c>
      <c r="F50" s="58">
        <f>1.08*F47</f>
        <v>72.446399999999997</v>
      </c>
      <c r="G50" s="59" t="s">
        <v>34</v>
      </c>
      <c r="H50" s="53" t="s">
        <v>170</v>
      </c>
    </row>
    <row r="51" spans="1:8" ht="15" x14ac:dyDescent="0.2">
      <c r="A51" s="36" t="s">
        <v>63</v>
      </c>
      <c r="B51" s="48" t="s">
        <v>178</v>
      </c>
      <c r="C51" s="5" t="s">
        <v>16</v>
      </c>
      <c r="D51" s="11"/>
      <c r="E51" s="57">
        <v>6</v>
      </c>
      <c r="F51" s="57">
        <v>6</v>
      </c>
      <c r="G51" s="37" t="s">
        <v>34</v>
      </c>
    </row>
    <row r="52" spans="1:8" ht="15" x14ac:dyDescent="0.2">
      <c r="A52" s="36" t="s">
        <v>64</v>
      </c>
      <c r="B52" s="48"/>
      <c r="C52" s="5" t="s">
        <v>16</v>
      </c>
      <c r="D52" s="11"/>
      <c r="E52" s="57">
        <v>-0.08</v>
      </c>
      <c r="F52" s="57">
        <v>-0.08</v>
      </c>
      <c r="G52" s="37" t="s">
        <v>34</v>
      </c>
    </row>
    <row r="53" spans="1:8" ht="15" x14ac:dyDescent="0.2">
      <c r="A53" s="36" t="s">
        <v>65</v>
      </c>
      <c r="B53" s="48" t="s">
        <v>179</v>
      </c>
      <c r="C53" s="5" t="s">
        <v>16</v>
      </c>
      <c r="D53" s="11"/>
      <c r="E53" s="57">
        <v>-0.08</v>
      </c>
      <c r="F53" s="57">
        <v>-0.08</v>
      </c>
      <c r="G53" s="37" t="s">
        <v>34</v>
      </c>
    </row>
    <row r="54" spans="1:8" ht="15" x14ac:dyDescent="0.2">
      <c r="A54" s="4" t="s">
        <v>66</v>
      </c>
      <c r="B54" s="6"/>
      <c r="C54" s="5" t="s">
        <v>57</v>
      </c>
      <c r="D54" s="6"/>
      <c r="E54" s="37"/>
      <c r="F54" s="37">
        <v>41.8</v>
      </c>
      <c r="G54" s="37">
        <v>1.7</v>
      </c>
    </row>
    <row r="55" spans="1:8" ht="15" x14ac:dyDescent="0.2">
      <c r="A55" s="4" t="s">
        <v>67</v>
      </c>
      <c r="B55" s="6"/>
      <c r="C55" s="5" t="s">
        <v>57</v>
      </c>
      <c r="D55" s="6"/>
      <c r="E55" s="37">
        <v>33.4</v>
      </c>
      <c r="F55" s="37">
        <v>33.4</v>
      </c>
      <c r="G55" s="37">
        <v>2.5</v>
      </c>
    </row>
    <row r="56" spans="1:8" ht="15" x14ac:dyDescent="0.2">
      <c r="A56" s="36" t="s">
        <v>68</v>
      </c>
      <c r="B56" s="38"/>
      <c r="C56" s="41" t="s">
        <v>61</v>
      </c>
      <c r="D56" s="38"/>
      <c r="E56" s="37">
        <v>-2.2000000000000002</v>
      </c>
      <c r="F56" s="37">
        <v>-2.2000000000000002</v>
      </c>
      <c r="G56" s="37"/>
    </row>
    <row r="57" spans="1:8" ht="31" thickBot="1" x14ac:dyDescent="0.25">
      <c r="A57" s="7" t="s">
        <v>180</v>
      </c>
      <c r="B57" s="8"/>
      <c r="C57" s="21" t="s">
        <v>16</v>
      </c>
      <c r="D57" s="8"/>
      <c r="E57" s="42">
        <v>2.1800000000000002</v>
      </c>
      <c r="F57" s="42">
        <v>2.1800000000000002</v>
      </c>
      <c r="G57" s="42">
        <v>0.33</v>
      </c>
    </row>
    <row r="58" spans="1:8" ht="15" thickBot="1" x14ac:dyDescent="0.25">
      <c r="A58" s="141" t="s">
        <v>69</v>
      </c>
      <c r="B58" s="142"/>
      <c r="C58" s="142"/>
      <c r="D58" s="142"/>
      <c r="E58" s="142"/>
      <c r="F58" s="142"/>
      <c r="G58" s="142"/>
      <c r="H58" s="143"/>
    </row>
    <row r="59" spans="1:8" ht="14.5" customHeight="1" x14ac:dyDescent="0.2">
      <c r="A59" s="60" t="s">
        <v>70</v>
      </c>
      <c r="B59" s="60"/>
      <c r="C59" s="34"/>
      <c r="D59" s="60"/>
      <c r="E59" s="60"/>
      <c r="F59" s="166"/>
      <c r="G59" s="166"/>
      <c r="H59" s="147" t="s">
        <v>181</v>
      </c>
    </row>
    <row r="60" spans="1:8" ht="15" x14ac:dyDescent="0.2">
      <c r="A60" s="54" t="s">
        <v>71</v>
      </c>
      <c r="B60" s="32"/>
      <c r="C60" s="62" t="s">
        <v>72</v>
      </c>
      <c r="D60" s="32"/>
      <c r="E60" s="32"/>
      <c r="F60" s="155"/>
      <c r="G60" s="155"/>
      <c r="H60" s="147"/>
    </row>
    <row r="61" spans="1:8" ht="14.5" customHeight="1" x14ac:dyDescent="0.2">
      <c r="A61" s="38" t="s">
        <v>73</v>
      </c>
      <c r="B61" s="38"/>
      <c r="C61" s="62" t="s">
        <v>72</v>
      </c>
      <c r="D61" s="38"/>
      <c r="E61" s="63">
        <v>67042.669899999994</v>
      </c>
      <c r="F61" s="63">
        <v>67042.669899999994</v>
      </c>
      <c r="G61" s="37"/>
      <c r="H61" s="148"/>
    </row>
    <row r="62" spans="1:8" ht="14.5" customHeight="1" x14ac:dyDescent="0.2">
      <c r="A62" s="38" t="s">
        <v>74</v>
      </c>
      <c r="B62" s="38"/>
      <c r="C62" s="62" t="s">
        <v>72</v>
      </c>
      <c r="D62" s="38"/>
      <c r="E62" s="63">
        <v>99763.729000000007</v>
      </c>
      <c r="F62" s="63">
        <v>99763.729000000007</v>
      </c>
      <c r="G62" s="37"/>
      <c r="H62" s="148"/>
    </row>
    <row r="63" spans="1:8" ht="14.5" customHeight="1" x14ac:dyDescent="0.2">
      <c r="A63" s="38" t="s">
        <v>75</v>
      </c>
      <c r="B63" s="38"/>
      <c r="C63" s="62" t="s">
        <v>72</v>
      </c>
      <c r="D63" s="38"/>
      <c r="E63" s="63">
        <v>68574.796849999999</v>
      </c>
      <c r="F63" s="63">
        <v>68574.796849999999</v>
      </c>
      <c r="G63" s="37"/>
      <c r="H63" s="148"/>
    </row>
    <row r="64" spans="1:8" ht="14.5" customHeight="1" x14ac:dyDescent="0.2">
      <c r="A64" s="38" t="s">
        <v>76</v>
      </c>
      <c r="B64" s="38"/>
      <c r="C64" s="62" t="s">
        <v>72</v>
      </c>
      <c r="D64" s="38"/>
      <c r="E64" s="63">
        <v>109125.6635</v>
      </c>
      <c r="F64" s="63">
        <v>109125.6635</v>
      </c>
      <c r="G64" s="37"/>
      <c r="H64" s="148"/>
    </row>
    <row r="65" spans="1:8" ht="20" customHeight="1" x14ac:dyDescent="0.2">
      <c r="A65" s="38" t="s">
        <v>77</v>
      </c>
      <c r="B65" s="38"/>
      <c r="C65" s="41"/>
      <c r="D65" s="38"/>
      <c r="E65" s="38"/>
      <c r="F65" s="150"/>
      <c r="G65" s="150"/>
      <c r="H65" s="148"/>
    </row>
    <row r="66" spans="1:8" ht="20" customHeight="1" x14ac:dyDescent="0.2">
      <c r="A66" s="38" t="s">
        <v>78</v>
      </c>
      <c r="B66" s="48" t="s">
        <v>178</v>
      </c>
      <c r="C66" s="64" t="s">
        <v>16</v>
      </c>
      <c r="D66" s="48"/>
      <c r="E66" s="48"/>
      <c r="F66" s="139"/>
      <c r="G66" s="139"/>
      <c r="H66" s="148"/>
    </row>
    <row r="67" spans="1:8" ht="20" customHeight="1" x14ac:dyDescent="0.2">
      <c r="A67" s="38" t="s">
        <v>79</v>
      </c>
      <c r="B67" s="48"/>
      <c r="C67" s="64" t="s">
        <v>16</v>
      </c>
      <c r="D67" s="48"/>
      <c r="E67" s="48"/>
      <c r="F67" s="139"/>
      <c r="G67" s="139"/>
      <c r="H67" s="148"/>
    </row>
    <row r="68" spans="1:8" ht="20" customHeight="1" x14ac:dyDescent="0.2">
      <c r="A68" s="38" t="s">
        <v>80</v>
      </c>
      <c r="B68" s="48"/>
      <c r="C68" s="64" t="s">
        <v>16</v>
      </c>
      <c r="D68" s="48"/>
      <c r="E68" s="48"/>
      <c r="F68" s="139"/>
      <c r="G68" s="139"/>
      <c r="H68" s="148"/>
    </row>
    <row r="69" spans="1:8" ht="20" customHeight="1" x14ac:dyDescent="0.2">
      <c r="A69" s="137" t="s">
        <v>182</v>
      </c>
      <c r="B69" s="48" t="s">
        <v>183</v>
      </c>
      <c r="C69" s="64" t="s">
        <v>16</v>
      </c>
      <c r="D69" s="48"/>
      <c r="E69" s="63">
        <v>10.234335913000001</v>
      </c>
      <c r="F69" s="63">
        <v>10.234335913000001</v>
      </c>
      <c r="G69" s="37"/>
      <c r="H69" s="148"/>
    </row>
    <row r="70" spans="1:8" ht="20" customHeight="1" x14ac:dyDescent="0.2">
      <c r="A70" s="138"/>
      <c r="B70" s="48" t="s">
        <v>184</v>
      </c>
      <c r="C70" s="64" t="s">
        <v>16</v>
      </c>
      <c r="D70" s="48"/>
      <c r="E70" s="63">
        <v>13.604605000300001</v>
      </c>
      <c r="F70" s="63">
        <v>13.604605000300001</v>
      </c>
      <c r="G70" s="37"/>
      <c r="H70" s="148"/>
    </row>
    <row r="71" spans="1:8" ht="20" customHeight="1" x14ac:dyDescent="0.2">
      <c r="A71" s="137" t="s">
        <v>185</v>
      </c>
      <c r="B71" s="48" t="s">
        <v>186</v>
      </c>
      <c r="C71" s="64" t="s">
        <v>16</v>
      </c>
      <c r="D71" s="48"/>
      <c r="E71" s="63">
        <v>7.2700566595000016</v>
      </c>
      <c r="F71" s="63">
        <v>7.2700566595000016</v>
      </c>
      <c r="G71" s="37"/>
      <c r="H71" s="148"/>
    </row>
    <row r="72" spans="1:8" ht="20" customHeight="1" x14ac:dyDescent="0.2">
      <c r="A72" s="138"/>
      <c r="B72" s="48" t="s">
        <v>187</v>
      </c>
      <c r="C72" s="64" t="s">
        <v>16</v>
      </c>
      <c r="D72" s="48"/>
      <c r="E72" s="63">
        <v>11.446795924450001</v>
      </c>
      <c r="F72" s="63">
        <v>11.446795924450001</v>
      </c>
      <c r="G72" s="37"/>
      <c r="H72" s="148"/>
    </row>
    <row r="73" spans="1:8" ht="15" x14ac:dyDescent="0.2">
      <c r="A73" s="135" t="s">
        <v>81</v>
      </c>
      <c r="B73" s="48"/>
      <c r="C73" s="64" t="s">
        <v>16</v>
      </c>
      <c r="D73" s="48"/>
      <c r="E73" s="41" t="s">
        <v>82</v>
      </c>
      <c r="F73" s="41" t="s">
        <v>82</v>
      </c>
      <c r="G73" s="139" t="s">
        <v>83</v>
      </c>
      <c r="H73" s="148"/>
    </row>
    <row r="74" spans="1:8" ht="15" x14ac:dyDescent="0.2">
      <c r="A74" s="135"/>
      <c r="B74" s="48"/>
      <c r="C74" s="64" t="s">
        <v>16</v>
      </c>
      <c r="D74" s="48"/>
      <c r="E74" s="41" t="s">
        <v>84</v>
      </c>
      <c r="F74" s="41" t="s">
        <v>84</v>
      </c>
      <c r="G74" s="139"/>
      <c r="H74" s="148"/>
    </row>
    <row r="75" spans="1:8" ht="15" x14ac:dyDescent="0.2">
      <c r="A75" s="135"/>
      <c r="B75" s="48"/>
      <c r="C75" s="64" t="s">
        <v>16</v>
      </c>
      <c r="D75" s="48"/>
      <c r="E75" s="41" t="s">
        <v>85</v>
      </c>
      <c r="F75" s="41" t="s">
        <v>85</v>
      </c>
      <c r="G75" s="139"/>
      <c r="H75" s="148"/>
    </row>
    <row r="76" spans="1:8" ht="15" x14ac:dyDescent="0.2">
      <c r="A76" s="38" t="s">
        <v>86</v>
      </c>
      <c r="B76" s="48" t="s">
        <v>178</v>
      </c>
      <c r="C76" s="64" t="s">
        <v>16</v>
      </c>
      <c r="D76" s="48"/>
      <c r="E76" s="48"/>
      <c r="F76" s="139"/>
      <c r="G76" s="139"/>
      <c r="H76" s="148"/>
    </row>
    <row r="77" spans="1:8" ht="15" x14ac:dyDescent="0.2">
      <c r="A77" s="38" t="s">
        <v>87</v>
      </c>
      <c r="B77" s="48" t="s">
        <v>188</v>
      </c>
      <c r="C77" s="64" t="s">
        <v>16</v>
      </c>
      <c r="D77" s="48"/>
      <c r="E77" s="41" t="s">
        <v>88</v>
      </c>
      <c r="F77" s="41" t="s">
        <v>88</v>
      </c>
      <c r="G77" s="41" t="s">
        <v>89</v>
      </c>
      <c r="H77" s="148"/>
    </row>
    <row r="78" spans="1:8" ht="15" x14ac:dyDescent="0.2">
      <c r="A78" s="135" t="s">
        <v>90</v>
      </c>
      <c r="B78" s="48"/>
      <c r="C78" s="64" t="s">
        <v>16</v>
      </c>
      <c r="D78" s="48"/>
      <c r="E78" s="41" t="s">
        <v>91</v>
      </c>
      <c r="F78" s="41" t="s">
        <v>91</v>
      </c>
      <c r="G78" s="139" t="s">
        <v>92</v>
      </c>
      <c r="H78" s="148"/>
    </row>
    <row r="79" spans="1:8" ht="15" x14ac:dyDescent="0.2">
      <c r="A79" s="135"/>
      <c r="B79" s="48"/>
      <c r="C79" s="64" t="s">
        <v>16</v>
      </c>
      <c r="D79" s="48"/>
      <c r="E79" s="41" t="s">
        <v>93</v>
      </c>
      <c r="F79" s="41" t="s">
        <v>93</v>
      </c>
      <c r="G79" s="139"/>
      <c r="H79" s="148"/>
    </row>
    <row r="80" spans="1:8" ht="15" x14ac:dyDescent="0.2">
      <c r="A80" s="135"/>
      <c r="B80" s="48"/>
      <c r="C80" s="64" t="s">
        <v>16</v>
      </c>
      <c r="D80" s="48"/>
      <c r="E80" s="41" t="s">
        <v>94</v>
      </c>
      <c r="F80" s="41" t="s">
        <v>94</v>
      </c>
      <c r="G80" s="139"/>
      <c r="H80" s="148"/>
    </row>
    <row r="81" spans="1:8" ht="30" x14ac:dyDescent="0.2">
      <c r="A81" s="38" t="s">
        <v>95</v>
      </c>
      <c r="B81" s="48" t="s">
        <v>189</v>
      </c>
      <c r="C81" s="64" t="s">
        <v>16</v>
      </c>
      <c r="D81" s="48"/>
      <c r="E81" s="41" t="s">
        <v>96</v>
      </c>
      <c r="F81" s="41" t="s">
        <v>96</v>
      </c>
      <c r="G81" s="41" t="s">
        <v>97</v>
      </c>
      <c r="H81" s="148"/>
    </row>
    <row r="82" spans="1:8" ht="15" x14ac:dyDescent="0.2">
      <c r="A82" s="135" t="s">
        <v>98</v>
      </c>
      <c r="B82" s="48"/>
      <c r="C82" s="64" t="s">
        <v>16</v>
      </c>
      <c r="D82" s="48"/>
      <c r="E82" s="41" t="s">
        <v>99</v>
      </c>
      <c r="F82" s="41" t="s">
        <v>99</v>
      </c>
      <c r="G82" s="139" t="s">
        <v>100</v>
      </c>
      <c r="H82" s="148"/>
    </row>
    <row r="83" spans="1:8" ht="15" x14ac:dyDescent="0.2">
      <c r="A83" s="135"/>
      <c r="B83" s="48"/>
      <c r="C83" s="64" t="s">
        <v>16</v>
      </c>
      <c r="D83" s="48"/>
      <c r="E83" s="41" t="s">
        <v>101</v>
      </c>
      <c r="F83" s="41" t="s">
        <v>101</v>
      </c>
      <c r="G83" s="139"/>
      <c r="H83" s="148"/>
    </row>
    <row r="84" spans="1:8" ht="15" x14ac:dyDescent="0.2">
      <c r="A84" s="135"/>
      <c r="B84" s="48"/>
      <c r="C84" s="64" t="s">
        <v>16</v>
      </c>
      <c r="D84" s="48"/>
      <c r="E84" s="41" t="s">
        <v>102</v>
      </c>
      <c r="F84" s="41" t="s">
        <v>102</v>
      </c>
      <c r="G84" s="139"/>
      <c r="H84" s="148"/>
    </row>
    <row r="85" spans="1:8" ht="15" x14ac:dyDescent="0.2">
      <c r="A85" s="38" t="s">
        <v>103</v>
      </c>
      <c r="B85" s="48" t="s">
        <v>190</v>
      </c>
      <c r="C85" s="64" t="s">
        <v>16</v>
      </c>
      <c r="D85" s="48"/>
      <c r="E85" s="41" t="s">
        <v>104</v>
      </c>
      <c r="F85" s="41" t="s">
        <v>104</v>
      </c>
      <c r="G85" s="41" t="s">
        <v>92</v>
      </c>
      <c r="H85" s="148"/>
    </row>
    <row r="86" spans="1:8" ht="15" x14ac:dyDescent="0.2">
      <c r="A86" s="135" t="s">
        <v>105</v>
      </c>
      <c r="B86" s="48"/>
      <c r="C86" s="64" t="s">
        <v>16</v>
      </c>
      <c r="D86" s="48"/>
      <c r="E86" s="41" t="s">
        <v>106</v>
      </c>
      <c r="F86" s="41" t="s">
        <v>106</v>
      </c>
      <c r="G86" s="139" t="s">
        <v>107</v>
      </c>
      <c r="H86" s="148"/>
    </row>
    <row r="87" spans="1:8" ht="15" x14ac:dyDescent="0.2">
      <c r="A87" s="135"/>
      <c r="B87" s="48"/>
      <c r="C87" s="64" t="s">
        <v>16</v>
      </c>
      <c r="D87" s="48"/>
      <c r="E87" s="41" t="s">
        <v>108</v>
      </c>
      <c r="F87" s="41" t="s">
        <v>108</v>
      </c>
      <c r="G87" s="139"/>
      <c r="H87" s="148"/>
    </row>
    <row r="88" spans="1:8" ht="15" x14ac:dyDescent="0.2">
      <c r="A88" s="135"/>
      <c r="B88" s="48"/>
      <c r="C88" s="64" t="s">
        <v>16</v>
      </c>
      <c r="D88" s="48"/>
      <c r="E88" s="41" t="s">
        <v>109</v>
      </c>
      <c r="F88" s="41" t="s">
        <v>109</v>
      </c>
      <c r="G88" s="139"/>
      <c r="H88" s="148"/>
    </row>
    <row r="89" spans="1:8" ht="30" x14ac:dyDescent="0.2">
      <c r="A89" s="38" t="s">
        <v>110</v>
      </c>
      <c r="B89" s="48" t="s">
        <v>191</v>
      </c>
      <c r="C89" s="64" t="s">
        <v>16</v>
      </c>
      <c r="D89" s="48"/>
      <c r="E89" s="41" t="s">
        <v>111</v>
      </c>
      <c r="F89" s="41" t="s">
        <v>111</v>
      </c>
      <c r="G89" s="41" t="s">
        <v>92</v>
      </c>
      <c r="H89" s="148"/>
    </row>
    <row r="90" spans="1:8" ht="15" x14ac:dyDescent="0.2">
      <c r="A90" s="38" t="s">
        <v>112</v>
      </c>
      <c r="B90" s="48"/>
      <c r="C90" s="66"/>
      <c r="D90" s="48"/>
      <c r="E90" s="41">
        <v>4</v>
      </c>
      <c r="F90" s="41">
        <v>4</v>
      </c>
      <c r="G90" s="41">
        <v>1</v>
      </c>
      <c r="H90" s="148"/>
    </row>
    <row r="91" spans="1:8" ht="15" x14ac:dyDescent="0.2">
      <c r="A91" s="38" t="s">
        <v>113</v>
      </c>
      <c r="B91" s="48"/>
      <c r="C91" s="66"/>
      <c r="D91" s="48"/>
      <c r="E91" s="57">
        <v>6</v>
      </c>
      <c r="F91" s="57">
        <v>6</v>
      </c>
      <c r="G91" s="41">
        <v>1</v>
      </c>
      <c r="H91" s="148"/>
    </row>
    <row r="92" spans="1:8" ht="15" x14ac:dyDescent="0.2">
      <c r="A92" s="38" t="s">
        <v>114</v>
      </c>
      <c r="B92" s="48"/>
      <c r="C92" s="66"/>
      <c r="D92" s="48"/>
      <c r="E92" s="37">
        <v>8</v>
      </c>
      <c r="F92" s="37">
        <v>8</v>
      </c>
      <c r="G92" s="41">
        <v>1</v>
      </c>
      <c r="H92" s="148"/>
    </row>
    <row r="93" spans="1:8" ht="15" x14ac:dyDescent="0.2">
      <c r="A93" s="38" t="s">
        <v>115</v>
      </c>
      <c r="B93" s="48" t="s">
        <v>192</v>
      </c>
      <c r="C93" s="66"/>
      <c r="D93" s="48"/>
      <c r="E93" s="57" t="s">
        <v>88</v>
      </c>
      <c r="F93" s="57" t="s">
        <v>88</v>
      </c>
      <c r="G93" s="37" t="s">
        <v>89</v>
      </c>
      <c r="H93" s="148"/>
    </row>
    <row r="94" spans="1:8" x14ac:dyDescent="0.2">
      <c r="A94" s="135" t="s">
        <v>116</v>
      </c>
      <c r="B94" s="48"/>
      <c r="C94" s="66"/>
      <c r="D94" s="48"/>
      <c r="E94" s="37" t="s">
        <v>117</v>
      </c>
      <c r="F94" s="37" t="s">
        <v>117</v>
      </c>
      <c r="G94" s="136" t="s">
        <v>92</v>
      </c>
      <c r="H94" s="148"/>
    </row>
    <row r="95" spans="1:8" ht="15" customHeight="1" x14ac:dyDescent="0.2">
      <c r="A95" s="135"/>
      <c r="B95" s="48"/>
      <c r="C95" s="66"/>
      <c r="D95" s="48"/>
      <c r="E95" s="57" t="s">
        <v>118</v>
      </c>
      <c r="F95" s="57" t="s">
        <v>118</v>
      </c>
      <c r="G95" s="136"/>
      <c r="H95" s="148"/>
    </row>
    <row r="96" spans="1:8" x14ac:dyDescent="0.2">
      <c r="A96" s="135"/>
      <c r="B96" s="48"/>
      <c r="C96" s="66"/>
      <c r="D96" s="48"/>
      <c r="E96" s="37" t="s">
        <v>119</v>
      </c>
      <c r="F96" s="37" t="s">
        <v>119</v>
      </c>
      <c r="G96" s="136"/>
      <c r="H96" s="148"/>
    </row>
    <row r="97" spans="1:8" ht="15" x14ac:dyDescent="0.2">
      <c r="A97" s="38" t="s">
        <v>120</v>
      </c>
      <c r="B97" s="48" t="s">
        <v>193</v>
      </c>
      <c r="C97" s="66"/>
      <c r="D97" s="48"/>
      <c r="E97" s="57" t="s">
        <v>88</v>
      </c>
      <c r="F97" s="57" t="s">
        <v>88</v>
      </c>
      <c r="G97" s="37" t="s">
        <v>89</v>
      </c>
      <c r="H97" s="148"/>
    </row>
    <row r="98" spans="1:8" x14ac:dyDescent="0.2">
      <c r="A98" s="135" t="s">
        <v>121</v>
      </c>
      <c r="B98" s="48"/>
      <c r="C98" s="66"/>
      <c r="D98" s="48"/>
      <c r="E98" s="37" t="s">
        <v>122</v>
      </c>
      <c r="F98" s="37" t="s">
        <v>122</v>
      </c>
      <c r="G98" s="136" t="s">
        <v>100</v>
      </c>
      <c r="H98" s="148"/>
    </row>
    <row r="99" spans="1:8" ht="15" customHeight="1" x14ac:dyDescent="0.2">
      <c r="A99" s="135"/>
      <c r="B99" s="48"/>
      <c r="C99" s="66"/>
      <c r="D99" s="48"/>
      <c r="E99" s="57" t="s">
        <v>123</v>
      </c>
      <c r="F99" s="57" t="s">
        <v>123</v>
      </c>
      <c r="G99" s="136"/>
      <c r="H99" s="148"/>
    </row>
    <row r="100" spans="1:8" x14ac:dyDescent="0.2">
      <c r="A100" s="135"/>
      <c r="B100" s="48"/>
      <c r="C100" s="66"/>
      <c r="D100" s="48"/>
      <c r="E100" s="37" t="s">
        <v>124</v>
      </c>
      <c r="F100" s="37" t="s">
        <v>124</v>
      </c>
      <c r="G100" s="136"/>
      <c r="H100" s="148"/>
    </row>
    <row r="101" spans="1:8" ht="15" x14ac:dyDescent="0.2">
      <c r="A101" s="38" t="s">
        <v>125</v>
      </c>
      <c r="B101" s="48" t="s">
        <v>194</v>
      </c>
      <c r="C101" s="66"/>
      <c r="D101" s="48"/>
      <c r="E101" s="37" t="s">
        <v>104</v>
      </c>
      <c r="F101" s="37" t="s">
        <v>104</v>
      </c>
      <c r="G101" s="37" t="s">
        <v>92</v>
      </c>
      <c r="H101" s="148"/>
    </row>
    <row r="102" spans="1:8" ht="15" x14ac:dyDescent="0.2">
      <c r="A102" s="135" t="s">
        <v>126</v>
      </c>
      <c r="B102" s="48"/>
      <c r="C102" s="66"/>
      <c r="D102" s="48"/>
      <c r="E102" s="57" t="s">
        <v>127</v>
      </c>
      <c r="F102" s="57" t="s">
        <v>127</v>
      </c>
      <c r="G102" s="136" t="s">
        <v>107</v>
      </c>
      <c r="H102" s="148"/>
    </row>
    <row r="103" spans="1:8" ht="15" customHeight="1" x14ac:dyDescent="0.2">
      <c r="A103" s="135"/>
      <c r="B103" s="48"/>
      <c r="C103" s="66"/>
      <c r="D103" s="48"/>
      <c r="E103" s="37" t="s">
        <v>128</v>
      </c>
      <c r="F103" s="37" t="s">
        <v>128</v>
      </c>
      <c r="G103" s="136"/>
      <c r="H103" s="148"/>
    </row>
    <row r="104" spans="1:8" ht="15" x14ac:dyDescent="0.2">
      <c r="A104" s="135"/>
      <c r="B104" s="48"/>
      <c r="C104" s="66"/>
      <c r="D104" s="48"/>
      <c r="E104" s="57" t="s">
        <v>129</v>
      </c>
      <c r="F104" s="57" t="s">
        <v>129</v>
      </c>
      <c r="G104" s="136"/>
      <c r="H104" s="148"/>
    </row>
    <row r="105" spans="1:8" ht="16" thickBot="1" x14ac:dyDescent="0.25">
      <c r="A105" s="44" t="s">
        <v>130</v>
      </c>
      <c r="B105" s="48" t="s">
        <v>195</v>
      </c>
      <c r="C105" s="68"/>
      <c r="D105" s="69"/>
      <c r="E105" s="42" t="s">
        <v>131</v>
      </c>
      <c r="F105" s="42" t="s">
        <v>131</v>
      </c>
      <c r="G105" s="42" t="s">
        <v>92</v>
      </c>
      <c r="H105" s="149"/>
    </row>
    <row r="106" spans="1:8" ht="15" thickBot="1" x14ac:dyDescent="0.25">
      <c r="A106" s="141" t="s">
        <v>132</v>
      </c>
      <c r="B106" s="142"/>
      <c r="C106" s="142"/>
      <c r="D106" s="142"/>
      <c r="E106" s="142"/>
      <c r="F106" s="142"/>
      <c r="G106" s="142"/>
      <c r="H106" s="143"/>
    </row>
    <row r="107" spans="1:8" ht="45" x14ac:dyDescent="0.2">
      <c r="A107" s="22" t="s">
        <v>196</v>
      </c>
      <c r="B107" s="47" t="s">
        <v>197</v>
      </c>
      <c r="C107" s="27"/>
      <c r="D107" s="26"/>
      <c r="E107" s="70">
        <f>831.2-142</f>
        <v>689.2</v>
      </c>
      <c r="F107" s="70">
        <f>831.2-142</f>
        <v>689.2</v>
      </c>
      <c r="G107" s="70">
        <f>(689.2/831.2)*27.1</f>
        <v>22.470307988450436</v>
      </c>
    </row>
    <row r="108" spans="1:8" ht="45" x14ac:dyDescent="0.2">
      <c r="A108" s="22" t="s">
        <v>198</v>
      </c>
      <c r="B108" s="47"/>
      <c r="C108" s="27"/>
      <c r="D108" s="26"/>
      <c r="E108" s="70">
        <f>791.3-130</f>
        <v>661.3</v>
      </c>
      <c r="F108" s="70">
        <f>791.3-130</f>
        <v>661.3</v>
      </c>
      <c r="G108" s="70">
        <f>661/791*30.9</f>
        <v>25.821618204804043</v>
      </c>
    </row>
    <row r="109" spans="1:8" ht="45" x14ac:dyDescent="0.2">
      <c r="A109" s="6" t="s">
        <v>199</v>
      </c>
      <c r="B109" s="23"/>
      <c r="C109" s="24"/>
      <c r="D109" s="23"/>
      <c r="E109" s="37">
        <v>1343.43</v>
      </c>
      <c r="F109" s="37">
        <v>1343.43</v>
      </c>
      <c r="G109" s="37">
        <v>35.25</v>
      </c>
    </row>
    <row r="110" spans="1:8" ht="45" x14ac:dyDescent="0.15">
      <c r="A110" s="6" t="s">
        <v>200</v>
      </c>
      <c r="B110" s="47" t="s">
        <v>201</v>
      </c>
      <c r="C110" s="71"/>
      <c r="D110" s="47"/>
      <c r="E110" s="72">
        <v>1442.09</v>
      </c>
      <c r="F110" s="72">
        <v>1442.09</v>
      </c>
      <c r="G110" s="72">
        <v>37.18</v>
      </c>
    </row>
    <row r="111" spans="1:8" ht="15" x14ac:dyDescent="0.2">
      <c r="A111" s="6" t="s">
        <v>133</v>
      </c>
      <c r="B111" s="23" t="s">
        <v>202</v>
      </c>
      <c r="C111" s="24"/>
      <c r="D111" s="23"/>
      <c r="E111" s="12">
        <v>0.63</v>
      </c>
      <c r="F111" s="12">
        <v>0.63</v>
      </c>
      <c r="G111" s="12" t="s">
        <v>34</v>
      </c>
    </row>
    <row r="112" spans="1:8" ht="45" x14ac:dyDescent="0.2">
      <c r="A112" s="6" t="s">
        <v>203</v>
      </c>
      <c r="B112" s="47" t="s">
        <v>204</v>
      </c>
      <c r="C112" s="71"/>
      <c r="D112" s="47"/>
      <c r="E112" s="73">
        <v>196.74610200000001</v>
      </c>
      <c r="F112" s="73">
        <v>196.74610200000001</v>
      </c>
      <c r="G112" s="73">
        <v>14.867080874999999</v>
      </c>
    </row>
    <row r="113" spans="1:8" ht="45" x14ac:dyDescent="0.2">
      <c r="A113" s="6" t="s">
        <v>205</v>
      </c>
      <c r="B113" s="23"/>
      <c r="C113" s="24"/>
      <c r="D113" s="23"/>
      <c r="E113" s="73">
        <v>384.00511920999998</v>
      </c>
      <c r="F113" s="73">
        <v>384.00511920999998</v>
      </c>
      <c r="G113" s="73">
        <v>28.389894797</v>
      </c>
    </row>
    <row r="114" spans="1:8" ht="45" x14ac:dyDescent="0.2">
      <c r="A114" s="6" t="s">
        <v>206</v>
      </c>
      <c r="B114" s="47" t="s">
        <v>207</v>
      </c>
      <c r="C114" s="71"/>
      <c r="D114" s="47"/>
      <c r="E114" s="59">
        <v>553.63363279999999</v>
      </c>
      <c r="F114" s="59">
        <v>553.63363279999999</v>
      </c>
      <c r="G114" s="59">
        <v>22.687528740000001</v>
      </c>
    </row>
    <row r="115" spans="1:8" ht="45" x14ac:dyDescent="0.2">
      <c r="A115" s="6" t="s">
        <v>208</v>
      </c>
      <c r="B115" s="23"/>
      <c r="C115" s="24"/>
      <c r="D115" s="23"/>
      <c r="E115" s="73">
        <v>219.4968825</v>
      </c>
      <c r="F115" s="73">
        <v>219.4968825</v>
      </c>
      <c r="G115" s="73">
        <v>21.879757558000001</v>
      </c>
    </row>
    <row r="116" spans="1:8" ht="45" x14ac:dyDescent="0.2">
      <c r="A116" s="6" t="s">
        <v>209</v>
      </c>
      <c r="B116" s="23"/>
      <c r="C116" s="24"/>
      <c r="D116" s="23"/>
      <c r="E116" s="73">
        <v>478.82852245999999</v>
      </c>
      <c r="F116" s="73">
        <v>478.82852245999999</v>
      </c>
      <c r="G116" s="73">
        <v>67.990051414000007</v>
      </c>
    </row>
    <row r="117" spans="1:8" ht="45" x14ac:dyDescent="0.2">
      <c r="A117" s="6" t="s">
        <v>210</v>
      </c>
      <c r="E117" s="59">
        <v>682.67427350000003</v>
      </c>
      <c r="F117" s="59">
        <v>682.67427350000003</v>
      </c>
      <c r="G117" s="59">
        <v>29.806198169000002</v>
      </c>
    </row>
    <row r="118" spans="1:8" ht="30" x14ac:dyDescent="0.2">
      <c r="A118" s="38" t="s">
        <v>134</v>
      </c>
      <c r="B118" s="48"/>
      <c r="C118" s="66"/>
      <c r="D118" s="48"/>
      <c r="E118" s="37">
        <v>70</v>
      </c>
      <c r="F118" s="37">
        <v>70</v>
      </c>
      <c r="G118" s="37" t="s">
        <v>34</v>
      </c>
    </row>
    <row r="119" spans="1:8" ht="15" x14ac:dyDescent="0.2">
      <c r="A119" s="38" t="s">
        <v>135</v>
      </c>
      <c r="B119" s="48"/>
      <c r="C119" s="66"/>
      <c r="D119" s="48"/>
      <c r="E119" s="75">
        <v>-248.58081899999999</v>
      </c>
      <c r="F119" s="75">
        <v>-248.58081899999999</v>
      </c>
      <c r="G119" s="73">
        <v>17.341517389</v>
      </c>
    </row>
    <row r="120" spans="1:8" ht="15" x14ac:dyDescent="0.2">
      <c r="A120" s="38" t="s">
        <v>136</v>
      </c>
      <c r="B120" s="48"/>
      <c r="C120" s="66"/>
      <c r="D120" s="48"/>
      <c r="E120" s="75">
        <v>-138.68612999999999</v>
      </c>
      <c r="F120" s="75">
        <v>-138.68612999999999</v>
      </c>
      <c r="G120" s="73">
        <v>16.317845522999999</v>
      </c>
    </row>
    <row r="121" spans="1:8" ht="15" x14ac:dyDescent="0.2">
      <c r="A121" s="38" t="s">
        <v>137</v>
      </c>
      <c r="B121" s="48"/>
      <c r="C121" s="66"/>
      <c r="D121" s="48"/>
      <c r="E121" s="75">
        <v>889.34240850000003</v>
      </c>
      <c r="F121" s="75">
        <v>889.34240850000003</v>
      </c>
      <c r="G121" s="73">
        <v>31.843806775000001</v>
      </c>
    </row>
    <row r="122" spans="1:8" ht="15" x14ac:dyDescent="0.2">
      <c r="A122" s="38" t="s">
        <v>138</v>
      </c>
      <c r="B122" s="48"/>
      <c r="C122" s="66"/>
      <c r="D122" s="48"/>
      <c r="E122" s="75">
        <v>4235.6185477999998</v>
      </c>
      <c r="F122" s="75">
        <v>4235.6185477999998</v>
      </c>
      <c r="G122" s="73">
        <v>63.173604574999999</v>
      </c>
    </row>
    <row r="123" spans="1:8" ht="15" x14ac:dyDescent="0.2">
      <c r="A123" s="38" t="s">
        <v>139</v>
      </c>
      <c r="B123" s="48"/>
      <c r="C123" s="66"/>
      <c r="D123" s="48"/>
      <c r="E123" s="75">
        <v>-163.1373773</v>
      </c>
      <c r="F123" s="75">
        <v>-163.1373773</v>
      </c>
      <c r="G123" s="73">
        <v>28.703881439</v>
      </c>
    </row>
    <row r="124" spans="1:8" ht="15" x14ac:dyDescent="0.2">
      <c r="A124" s="38" t="s">
        <v>140</v>
      </c>
      <c r="B124" s="48"/>
      <c r="C124" s="66"/>
      <c r="D124" s="48"/>
      <c r="E124" s="75">
        <v>-167.56542229999999</v>
      </c>
      <c r="F124" s="75">
        <v>-167.56542229999999</v>
      </c>
      <c r="G124" s="73">
        <v>16.744857088</v>
      </c>
    </row>
    <row r="125" spans="1:8" ht="15" x14ac:dyDescent="0.2">
      <c r="A125" s="38" t="s">
        <v>141</v>
      </c>
      <c r="B125" s="48"/>
      <c r="C125" s="66"/>
      <c r="D125" s="48"/>
      <c r="E125" s="75">
        <v>-124.91186620000001</v>
      </c>
      <c r="F125" s="75">
        <v>-124.91186620000001</v>
      </c>
      <c r="G125" s="73">
        <v>13.061922490000001</v>
      </c>
    </row>
    <row r="126" spans="1:8" ht="15" x14ac:dyDescent="0.2">
      <c r="A126" s="38" t="s">
        <v>142</v>
      </c>
      <c r="B126" s="48"/>
      <c r="C126" s="66"/>
      <c r="D126" s="48"/>
      <c r="E126" s="76">
        <v>101.53284407</v>
      </c>
      <c r="F126" s="76">
        <v>101.53284407</v>
      </c>
      <c r="G126" s="59">
        <v>6.5989592819</v>
      </c>
    </row>
    <row r="127" spans="1:8" ht="31" thickBot="1" x14ac:dyDescent="0.25">
      <c r="A127" s="44" t="s">
        <v>143</v>
      </c>
      <c r="B127" s="69"/>
      <c r="C127" s="68"/>
      <c r="D127" s="69"/>
      <c r="E127" s="77">
        <v>-127.77385049999999</v>
      </c>
      <c r="F127" s="77">
        <v>-127.77385049999999</v>
      </c>
      <c r="G127" s="77">
        <v>39.695291662000002</v>
      </c>
    </row>
    <row r="128" spans="1:8" ht="15" thickBot="1" x14ac:dyDescent="0.25">
      <c r="A128" s="141" t="s">
        <v>144</v>
      </c>
      <c r="B128" s="142"/>
      <c r="C128" s="142"/>
      <c r="D128" s="142"/>
      <c r="E128" s="142"/>
      <c r="F128" s="142"/>
      <c r="G128" s="142"/>
      <c r="H128" s="143"/>
    </row>
    <row r="129" spans="1:8" ht="45" x14ac:dyDescent="0.2">
      <c r="A129" s="60" t="s">
        <v>211</v>
      </c>
      <c r="B129" s="78" t="s">
        <v>212</v>
      </c>
      <c r="C129" s="79"/>
      <c r="D129" s="78"/>
      <c r="E129" s="78"/>
      <c r="F129" s="165"/>
      <c r="G129" s="165"/>
      <c r="H129" s="80" t="s">
        <v>213</v>
      </c>
    </row>
    <row r="130" spans="1:8" ht="30" x14ac:dyDescent="0.2">
      <c r="A130" s="54" t="s">
        <v>214</v>
      </c>
      <c r="B130" s="48" t="s">
        <v>215</v>
      </c>
      <c r="C130" s="66"/>
      <c r="D130" s="48"/>
      <c r="E130" s="48"/>
      <c r="F130" s="140"/>
      <c r="G130" s="140"/>
      <c r="H130" s="82" t="s">
        <v>145</v>
      </c>
    </row>
    <row r="131" spans="1:8" ht="36" customHeight="1" x14ac:dyDescent="0.2">
      <c r="A131" s="122" t="s">
        <v>146</v>
      </c>
      <c r="B131" s="38"/>
      <c r="C131" s="41"/>
      <c r="D131" s="38"/>
      <c r="E131" s="57" t="s">
        <v>147</v>
      </c>
      <c r="F131" s="57" t="s">
        <v>147</v>
      </c>
      <c r="G131" s="57" t="s">
        <v>147</v>
      </c>
      <c r="H131" s="124" t="s">
        <v>216</v>
      </c>
    </row>
    <row r="132" spans="1:8" ht="55.5" customHeight="1" x14ac:dyDescent="0.2">
      <c r="A132" s="123"/>
      <c r="B132" s="78" t="s">
        <v>217</v>
      </c>
      <c r="C132" s="79"/>
      <c r="D132" s="78"/>
      <c r="E132" s="83">
        <v>11.11135</v>
      </c>
      <c r="F132" s="83">
        <v>11.11135</v>
      </c>
      <c r="G132" s="83">
        <v>0.32349500000000003</v>
      </c>
      <c r="H132" s="126"/>
    </row>
    <row r="133" spans="1:8" ht="30" x14ac:dyDescent="0.2">
      <c r="A133" s="38" t="s">
        <v>218</v>
      </c>
      <c r="B133" s="48" t="s">
        <v>219</v>
      </c>
      <c r="C133" s="66"/>
      <c r="D133" s="48"/>
      <c r="E133" s="48"/>
      <c r="F133" s="140"/>
      <c r="G133" s="140"/>
      <c r="H133" s="82" t="s">
        <v>148</v>
      </c>
    </row>
    <row r="134" spans="1:8" ht="29.5" customHeight="1" x14ac:dyDescent="0.2">
      <c r="A134" s="144" t="s">
        <v>149</v>
      </c>
      <c r="B134" s="38"/>
      <c r="C134" s="41"/>
      <c r="D134" s="38"/>
      <c r="E134" s="57" t="s">
        <v>150</v>
      </c>
      <c r="F134" s="57" t="s">
        <v>150</v>
      </c>
      <c r="G134" s="57" t="s">
        <v>150</v>
      </c>
      <c r="H134" s="124" t="s">
        <v>216</v>
      </c>
    </row>
    <row r="135" spans="1:8" ht="52.25" customHeight="1" x14ac:dyDescent="0.2">
      <c r="A135" s="145"/>
      <c r="B135" s="78" t="s">
        <v>220</v>
      </c>
      <c r="C135" s="79"/>
      <c r="D135" s="78"/>
      <c r="E135" s="83">
        <v>10.1007</v>
      </c>
      <c r="F135" s="83">
        <v>10.1007</v>
      </c>
      <c r="G135" s="83">
        <v>0.44891999999999999</v>
      </c>
      <c r="H135" s="126"/>
    </row>
    <row r="136" spans="1:8" ht="30" x14ac:dyDescent="0.2">
      <c r="A136" s="38" t="s">
        <v>221</v>
      </c>
      <c r="B136" s="48" t="s">
        <v>222</v>
      </c>
      <c r="C136" s="66"/>
      <c r="D136" s="48"/>
      <c r="E136" s="48"/>
      <c r="F136" s="140"/>
      <c r="G136" s="140"/>
      <c r="H136" s="82" t="s">
        <v>148</v>
      </c>
    </row>
    <row r="137" spans="1:8" ht="28.5" customHeight="1" x14ac:dyDescent="0.2">
      <c r="A137" s="122" t="s">
        <v>151</v>
      </c>
      <c r="B137" s="133" t="s">
        <v>223</v>
      </c>
      <c r="C137" s="68"/>
      <c r="D137" s="69"/>
      <c r="E137" s="57" t="s">
        <v>147</v>
      </c>
      <c r="F137" s="57" t="s">
        <v>147</v>
      </c>
      <c r="G137" s="57" t="s">
        <v>147</v>
      </c>
      <c r="H137" s="124" t="s">
        <v>224</v>
      </c>
    </row>
    <row r="138" spans="1:8" ht="28.5" customHeight="1" x14ac:dyDescent="0.2">
      <c r="A138" s="123"/>
      <c r="B138" s="134"/>
      <c r="C138" s="79"/>
      <c r="D138" s="78"/>
      <c r="E138" s="83">
        <v>7.9251909154751132</v>
      </c>
      <c r="F138" s="83">
        <v>7.9251909154751132</v>
      </c>
      <c r="G138" s="83">
        <v>0.13205429864253396</v>
      </c>
      <c r="H138" s="125"/>
    </row>
    <row r="139" spans="1:8" ht="28.5" customHeight="1" x14ac:dyDescent="0.2">
      <c r="A139" s="122" t="s">
        <v>152</v>
      </c>
      <c r="B139" s="127" t="s">
        <v>225</v>
      </c>
      <c r="C139" s="68"/>
      <c r="D139" s="85"/>
      <c r="E139" s="57" t="s">
        <v>150</v>
      </c>
      <c r="F139" s="57" t="s">
        <v>150</v>
      </c>
      <c r="G139" s="57" t="s">
        <v>150</v>
      </c>
      <c r="H139" s="125"/>
    </row>
    <row r="140" spans="1:8" ht="28.5" customHeight="1" x14ac:dyDescent="0.2">
      <c r="A140" s="123"/>
      <c r="B140" s="128"/>
      <c r="C140" s="86"/>
      <c r="D140" s="87"/>
      <c r="E140" s="88">
        <v>7.5124781408144798</v>
      </c>
      <c r="F140" s="88">
        <v>7.5124781408144798</v>
      </c>
      <c r="G140" s="88">
        <v>9.730316742081449E-2</v>
      </c>
      <c r="H140" s="126"/>
    </row>
    <row r="141" spans="1:8" ht="28.5" customHeight="1" thickBot="1" x14ac:dyDescent="0.25">
      <c r="A141" s="44" t="s">
        <v>153</v>
      </c>
      <c r="B141" s="78" t="s">
        <v>226</v>
      </c>
      <c r="C141" s="86"/>
      <c r="D141" s="89"/>
      <c r="E141" s="88">
        <f>2.81*768*768/(1024*1024)</f>
        <v>1.5806249999999999</v>
      </c>
      <c r="F141" s="88">
        <f>2.81*768*768/(1024*1024)</f>
        <v>1.5806249999999999</v>
      </c>
      <c r="G141" s="88">
        <f>0.05*768*768/(1024*1024)</f>
        <v>2.8125000000000004E-2</v>
      </c>
      <c r="H141" s="90" t="s">
        <v>227</v>
      </c>
    </row>
    <row r="142" spans="1:8" ht="15" thickBot="1" x14ac:dyDescent="0.25">
      <c r="A142" s="129" t="s">
        <v>154</v>
      </c>
      <c r="B142" s="130"/>
      <c r="C142" s="130"/>
      <c r="D142" s="130"/>
      <c r="E142" s="130"/>
      <c r="F142" s="131"/>
      <c r="G142" s="131"/>
      <c r="H142" s="132"/>
    </row>
    <row r="143" spans="1:8" ht="53.25" customHeight="1" x14ac:dyDescent="0.2">
      <c r="A143" s="60" t="s">
        <v>155</v>
      </c>
      <c r="B143" s="60"/>
      <c r="C143" s="34"/>
      <c r="D143" s="60"/>
      <c r="E143" s="34" t="s">
        <v>228</v>
      </c>
      <c r="F143" s="34" t="s">
        <v>228</v>
      </c>
      <c r="G143" s="35" t="s">
        <v>34</v>
      </c>
      <c r="H143" s="91"/>
    </row>
    <row r="144" spans="1:8" ht="30" x14ac:dyDescent="0.2">
      <c r="A144" s="38" t="s">
        <v>229</v>
      </c>
      <c r="B144" s="38"/>
      <c r="C144" s="41"/>
      <c r="D144" s="38"/>
      <c r="E144" s="92">
        <f>(E40+3.54*E43+E45+E110)/1000</f>
        <v>7.1551299999999998</v>
      </c>
      <c r="F144" s="92">
        <f>(F40+3.54*F43+F45+F110)/1000</f>
        <v>7.1551299999999998</v>
      </c>
      <c r="G144" s="92">
        <v>7.0000000000000007E-2</v>
      </c>
      <c r="H144" s="82"/>
    </row>
  </sheetData>
  <mergeCells count="53">
    <mergeCell ref="H45:H46"/>
    <mergeCell ref="A2:H2"/>
    <mergeCell ref="H3:H14"/>
    <mergeCell ref="F8:G8"/>
    <mergeCell ref="A15:H15"/>
    <mergeCell ref="H21:H25"/>
    <mergeCell ref="B26:B29"/>
    <mergeCell ref="B30:B34"/>
    <mergeCell ref="A35:A37"/>
    <mergeCell ref="G35:G37"/>
    <mergeCell ref="A39:H39"/>
    <mergeCell ref="H40:H42"/>
    <mergeCell ref="A58:H58"/>
    <mergeCell ref="F59:G59"/>
    <mergeCell ref="H59:H105"/>
    <mergeCell ref="F60:G60"/>
    <mergeCell ref="F65:G65"/>
    <mergeCell ref="F66:G66"/>
    <mergeCell ref="F67:G67"/>
    <mergeCell ref="F68:G68"/>
    <mergeCell ref="A69:A70"/>
    <mergeCell ref="A71:A72"/>
    <mergeCell ref="A73:A75"/>
    <mergeCell ref="G73:G75"/>
    <mergeCell ref="F76:G76"/>
    <mergeCell ref="A78:A80"/>
    <mergeCell ref="G78:G80"/>
    <mergeCell ref="F130:G130"/>
    <mergeCell ref="A86:A88"/>
    <mergeCell ref="G86:G88"/>
    <mergeCell ref="A94:A96"/>
    <mergeCell ref="G94:G96"/>
    <mergeCell ref="A98:A100"/>
    <mergeCell ref="G98:G100"/>
    <mergeCell ref="A102:A104"/>
    <mergeCell ref="G102:G104"/>
    <mergeCell ref="A106:H106"/>
    <mergeCell ref="A128:H128"/>
    <mergeCell ref="F129:G129"/>
    <mergeCell ref="A82:A84"/>
    <mergeCell ref="G82:G84"/>
    <mergeCell ref="A142:H142"/>
    <mergeCell ref="A131:A132"/>
    <mergeCell ref="H131:H132"/>
    <mergeCell ref="F133:G133"/>
    <mergeCell ref="A134:A135"/>
    <mergeCell ref="H134:H135"/>
    <mergeCell ref="F136:G136"/>
    <mergeCell ref="A137:A138"/>
    <mergeCell ref="B137:B138"/>
    <mergeCell ref="H137:H140"/>
    <mergeCell ref="A139:A140"/>
    <mergeCell ref="B139:B14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52158F8185D44A8848B98AEA319AF" ma:contentTypeVersion="11" ma:contentTypeDescription="Create a new document." ma:contentTypeScope="" ma:versionID="40d1adde12112f9a4d42528acd333c54">
  <xsd:schema xmlns:xsd="http://www.w3.org/2001/XMLSchema" xmlns:xs="http://www.w3.org/2001/XMLSchema" xmlns:p="http://schemas.microsoft.com/office/2006/metadata/properties" xmlns:ns3="a915fe38-2618-47b6-8303-829fb71466d5" xmlns:ns4="23d77754-4ccc-4c57-9291-cab09e81894a" targetNamespace="http://schemas.microsoft.com/office/2006/metadata/properties" ma:root="true" ma:fieldsID="e0b651cf95659f2583b306a8a5e3971b" ns3:_="" ns4:_="">
    <xsd:import namespace="a915fe38-2618-47b6-8303-829fb71466d5"/>
    <xsd:import namespace="23d77754-4ccc-4c57-9291-cab09e818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5fe38-2618-47b6-8303-829fb7146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7754-4ccc-4c57-9291-cab09e818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0477E8-A9B6-4D60-892A-59DCE57C9948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23d77754-4ccc-4c57-9291-cab09e81894a"/>
    <ds:schemaRef ds:uri="http://purl.org/dc/dcmitype/"/>
    <ds:schemaRef ds:uri="http://schemas.openxmlformats.org/package/2006/metadata/core-properties"/>
    <ds:schemaRef ds:uri="a915fe38-2618-47b6-8303-829fb71466d5"/>
  </ds:schemaRefs>
</ds:datastoreItem>
</file>

<file path=customXml/itemProps2.xml><?xml version="1.0" encoding="utf-8"?>
<ds:datastoreItem xmlns:ds="http://schemas.openxmlformats.org/officeDocument/2006/customXml" ds:itemID="{026E201E-02B6-4544-A4ED-F140E7A34F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D89FFF-DCDC-4FEA-95C0-D9A62FBED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5fe38-2618-47b6-8303-829fb71466d5"/>
    <ds:schemaRef ds:uri="23d77754-4ccc-4c57-9291-cab09e818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BWF_ATF_BasedOnXLSReconstr_r0.0</vt:lpstr>
      <vt:lpstr>DTS_Legend</vt:lpstr>
      <vt:lpstr>OLD-&gt;</vt:lpstr>
      <vt:lpstr>3.8_template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dfugazza</dc:creator>
  <cp:lastModifiedBy>DerChang Kau</cp:lastModifiedBy>
  <dcterms:created xsi:type="dcterms:W3CDTF">2020-11-20T17:42:35Z</dcterms:created>
  <dcterms:modified xsi:type="dcterms:W3CDTF">2020-11-23T15:40:59Z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0x010100F2552158F8185D44A8848B98AEA319AF</vt:lpwstr>
  </property>
</Properties>
</file>