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P1250 Scope/"/>
    </mc:Choice>
  </mc:AlternateContent>
  <xr:revisionPtr revIDLastSave="1582" documentId="8_{6F5D735F-A320-CF4C-8E36-2D943EC2ACC1}" xr6:coauthVersionLast="45" xr6:coauthVersionMax="45" xr10:uidLastSave="{974FE4E9-6F39-6A42-8816-F1F085CF2FDD}"/>
  <bookViews>
    <workbookView xWindow="14400" yWindow="-23540" windowWidth="38400" windowHeight="23540" activeTab="2" xr2:uid="{9243984F-EB86-AF4D-BA4B-CFBB199ED28F}"/>
  </bookViews>
  <sheets>
    <sheet name="Sheet1" sheetId="1" r:id="rId1"/>
    <sheet name="Tile Size" sheetId="2" r:id="rId2"/>
    <sheet name="Full Stack vs. BiSM" sheetId="5" r:id="rId3"/>
    <sheet name="Sheet4" sheetId="4" r:id="rId4"/>
    <sheet name="Sheet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43" i="5" l="1"/>
  <c r="AW43" i="5" s="1"/>
  <c r="AX43" i="5" s="1"/>
  <c r="AS42" i="5"/>
  <c r="AW42" i="5" s="1"/>
  <c r="AX42" i="5" s="1"/>
  <c r="AS40" i="5"/>
  <c r="AT40" i="5" s="1"/>
  <c r="AS38" i="5"/>
  <c r="AW38" i="5" s="1"/>
  <c r="AX38" i="5" s="1"/>
  <c r="AU36" i="5"/>
  <c r="AV36" i="5" s="1"/>
  <c r="AS36" i="5"/>
  <c r="AT36" i="5" s="1"/>
  <c r="AS33" i="5"/>
  <c r="AW33" i="5" s="1"/>
  <c r="AX33" i="5" s="1"/>
  <c r="AS31" i="5"/>
  <c r="AW31" i="5" s="1"/>
  <c r="AX31" i="5" s="1"/>
  <c r="AS29" i="5"/>
  <c r="AU29" i="5" s="1"/>
  <c r="AV29" i="5" s="1"/>
  <c r="AS27" i="5"/>
  <c r="AW27" i="5" s="1"/>
  <c r="AX27" i="5" s="1"/>
  <c r="AS25" i="5"/>
  <c r="AU25" i="5" s="1"/>
  <c r="AV25" i="5" s="1"/>
  <c r="AW24" i="5"/>
  <c r="AX24" i="5" s="1"/>
  <c r="AS24" i="5"/>
  <c r="AT24" i="5" s="1"/>
  <c r="AW23" i="5"/>
  <c r="AX23" i="5" s="1"/>
  <c r="AU23" i="5"/>
  <c r="AV23" i="5" s="1"/>
  <c r="AS23" i="5"/>
  <c r="AT23" i="5" s="1"/>
  <c r="AS22" i="5"/>
  <c r="AW22" i="5" s="1"/>
  <c r="AX22" i="5" s="1"/>
  <c r="AS20" i="5"/>
  <c r="AW20" i="5" s="1"/>
  <c r="AX20" i="5" s="1"/>
  <c r="AW19" i="5"/>
  <c r="AX19" i="5" s="1"/>
  <c r="AT19" i="5"/>
  <c r="AS19" i="5"/>
  <c r="AU19" i="5" s="1"/>
  <c r="AV19" i="5" s="1"/>
  <c r="AW18" i="5"/>
  <c r="AX18" i="5" s="1"/>
  <c r="AU18" i="5"/>
  <c r="AV18" i="5" s="1"/>
  <c r="AS18" i="5"/>
  <c r="AT18" i="5" s="1"/>
  <c r="AS17" i="5"/>
  <c r="AW17" i="5" s="1"/>
  <c r="AX17" i="5" s="1"/>
  <c r="AS15" i="5"/>
  <c r="AW15" i="5" s="1"/>
  <c r="AX15" i="5" s="1"/>
  <c r="AW14" i="5"/>
  <c r="AX14" i="5" s="1"/>
  <c r="AU14" i="5"/>
  <c r="AV14" i="5" s="1"/>
  <c r="AS14" i="5"/>
  <c r="AT14" i="5" s="1"/>
  <c r="AU13" i="5"/>
  <c r="AV13" i="5" s="1"/>
  <c r="AS13" i="5"/>
  <c r="AT13" i="5" s="1"/>
  <c r="AS10" i="5"/>
  <c r="AW10" i="5" s="1"/>
  <c r="AX10" i="5" s="1"/>
  <c r="AW9" i="5"/>
  <c r="AX9" i="5" s="1"/>
  <c r="AS9" i="5"/>
  <c r="AU9" i="5" s="1"/>
  <c r="AV9" i="5" s="1"/>
  <c r="AW8" i="5"/>
  <c r="AX8" i="5" s="1"/>
  <c r="AU8" i="5"/>
  <c r="AV8" i="5" s="1"/>
  <c r="AS8" i="5"/>
  <c r="AT8" i="5" s="1"/>
  <c r="AS7" i="5"/>
  <c r="AW7" i="5" s="1"/>
  <c r="AX7" i="5" s="1"/>
  <c r="AW6" i="5"/>
  <c r="AX6" i="5" s="1"/>
  <c r="AS6" i="5"/>
  <c r="AU6" i="5" s="1"/>
  <c r="AV6" i="5" s="1"/>
  <c r="AX5" i="5"/>
  <c r="AV5" i="5"/>
  <c r="AW5" i="5"/>
  <c r="AU5" i="5"/>
  <c r="AT5" i="5"/>
  <c r="AS5" i="5"/>
  <c r="AU43" i="5" l="1"/>
  <c r="AV43" i="5" s="1"/>
  <c r="AT43" i="5"/>
  <c r="AT42" i="5"/>
  <c r="AU42" i="5"/>
  <c r="AV42" i="5" s="1"/>
  <c r="AU40" i="5"/>
  <c r="AV40" i="5" s="1"/>
  <c r="AW40" i="5"/>
  <c r="AX40" i="5" s="1"/>
  <c r="AU38" i="5"/>
  <c r="AV38" i="5" s="1"/>
  <c r="AT38" i="5"/>
  <c r="AW36" i="5"/>
  <c r="AX36" i="5" s="1"/>
  <c r="AU33" i="5"/>
  <c r="AV33" i="5" s="1"/>
  <c r="AT33" i="5"/>
  <c r="AU31" i="5"/>
  <c r="AV31" i="5" s="1"/>
  <c r="AT31" i="5"/>
  <c r="AT29" i="5"/>
  <c r="AW29" i="5"/>
  <c r="AX29" i="5" s="1"/>
  <c r="AT27" i="5"/>
  <c r="AU27" i="5"/>
  <c r="AV27" i="5" s="1"/>
  <c r="AU24" i="5"/>
  <c r="AV24" i="5" s="1"/>
  <c r="AW25" i="5"/>
  <c r="AX25" i="5" s="1"/>
  <c r="AT22" i="5"/>
  <c r="AU22" i="5"/>
  <c r="AV22" i="5" s="1"/>
  <c r="AT25" i="5"/>
  <c r="AT17" i="5"/>
  <c r="AU17" i="5"/>
  <c r="AV17" i="5" s="1"/>
  <c r="AT20" i="5"/>
  <c r="AU20" i="5"/>
  <c r="AV20" i="5" s="1"/>
  <c r="AW13" i="5"/>
  <c r="AX13" i="5" s="1"/>
  <c r="AU15" i="5"/>
  <c r="AV15" i="5" s="1"/>
  <c r="AT15" i="5"/>
  <c r="AU7" i="5"/>
  <c r="AV7" i="5" s="1"/>
  <c r="AT6" i="5"/>
  <c r="AT7" i="5"/>
  <c r="AT10" i="5"/>
  <c r="AU10" i="5"/>
  <c r="AV10" i="5" s="1"/>
  <c r="AT9" i="5"/>
  <c r="AL5" i="5"/>
  <c r="AK5" i="5"/>
  <c r="AM5" i="5" s="1"/>
  <c r="AN5" i="5" s="1"/>
  <c r="AO5" i="5" s="1"/>
  <c r="AP5" i="5" s="1"/>
  <c r="AH6" i="5"/>
  <c r="AH7" i="5" s="1"/>
  <c r="AH8" i="5" s="1"/>
  <c r="AH9" i="5" s="1"/>
  <c r="AH10" i="5" s="1"/>
  <c r="AH11" i="5" s="1"/>
  <c r="AH13" i="5" s="1"/>
  <c r="AL13" i="5" s="1"/>
  <c r="Y5" i="5"/>
  <c r="Z5" i="5" s="1"/>
  <c r="AL8" i="5" l="1"/>
  <c r="AK9" i="5"/>
  <c r="AM9" i="5" s="1"/>
  <c r="AK6" i="5"/>
  <c r="AM6" i="5" s="1"/>
  <c r="AL6" i="5"/>
  <c r="AK10" i="5"/>
  <c r="AM10" i="5" s="1"/>
  <c r="AL9" i="5"/>
  <c r="AK7" i="5"/>
  <c r="AM7" i="5" s="1"/>
  <c r="AN7" i="5" s="1"/>
  <c r="AO7" i="5" s="1"/>
  <c r="AP7" i="5" s="1"/>
  <c r="AL10" i="5"/>
  <c r="AL7" i="5"/>
  <c r="AK8" i="5"/>
  <c r="AM8" i="5" s="1"/>
  <c r="AH14" i="5"/>
  <c r="AK13" i="5"/>
  <c r="AM13" i="5" s="1"/>
  <c r="AN13" i="5" s="1"/>
  <c r="AO13" i="5" s="1"/>
  <c r="AP13" i="5" s="1"/>
  <c r="Y6" i="5"/>
  <c r="AN8" i="5" l="1"/>
  <c r="AN10" i="5"/>
  <c r="AO10" i="5" s="1"/>
  <c r="AP10" i="5" s="1"/>
  <c r="AN6" i="5"/>
  <c r="AN9" i="5"/>
  <c r="AO9" i="5" s="1"/>
  <c r="AP9" i="5" s="1"/>
  <c r="AL14" i="5"/>
  <c r="AK14" i="5"/>
  <c r="AM14" i="5" s="1"/>
  <c r="AH15" i="5"/>
  <c r="M23" i="5"/>
  <c r="M25" i="5"/>
  <c r="R25" i="5" s="1"/>
  <c r="W25" i="5" s="1"/>
  <c r="I25" i="5"/>
  <c r="G25" i="5"/>
  <c r="E25" i="5"/>
  <c r="I23" i="5"/>
  <c r="G23" i="5"/>
  <c r="E23" i="5"/>
  <c r="M20" i="5"/>
  <c r="I20" i="5"/>
  <c r="G20" i="5"/>
  <c r="E20" i="5"/>
  <c r="M18" i="5"/>
  <c r="I18" i="5"/>
  <c r="G18" i="5"/>
  <c r="E18" i="5"/>
  <c r="M14" i="5"/>
  <c r="I14" i="5"/>
  <c r="G14" i="5"/>
  <c r="E14" i="5"/>
  <c r="M9" i="5"/>
  <c r="R9" i="5" s="1"/>
  <c r="W9" i="5" s="1"/>
  <c r="I9" i="5"/>
  <c r="G9" i="5"/>
  <c r="E9" i="5"/>
  <c r="M42" i="5"/>
  <c r="R42" i="5" s="1"/>
  <c r="W42" i="5" s="1"/>
  <c r="I42" i="5"/>
  <c r="G42" i="5"/>
  <c r="E42" i="5"/>
  <c r="S25" i="3"/>
  <c r="V19" i="3"/>
  <c r="V18" i="3"/>
  <c r="U18" i="3"/>
  <c r="S22" i="3"/>
  <c r="U19" i="3"/>
  <c r="T19" i="3"/>
  <c r="T18" i="3"/>
  <c r="T17" i="3"/>
  <c r="T21" i="3"/>
  <c r="S20" i="3"/>
  <c r="S21" i="3"/>
  <c r="Q21" i="3"/>
  <c r="B50" i="5"/>
  <c r="B51" i="5" s="1"/>
  <c r="M43" i="5"/>
  <c r="I43" i="5"/>
  <c r="G43" i="5"/>
  <c r="E43" i="5"/>
  <c r="M40" i="5"/>
  <c r="Y40" i="5" s="1"/>
  <c r="I40" i="5"/>
  <c r="G40" i="5"/>
  <c r="E40" i="5"/>
  <c r="M38" i="5"/>
  <c r="R38" i="5" s="1"/>
  <c r="W38" i="5" s="1"/>
  <c r="I38" i="5"/>
  <c r="G38" i="5"/>
  <c r="E38" i="5"/>
  <c r="M36" i="5"/>
  <c r="R36" i="5" s="1"/>
  <c r="W36" i="5" s="1"/>
  <c r="I36" i="5"/>
  <c r="G36" i="5"/>
  <c r="E36" i="5"/>
  <c r="M33" i="5"/>
  <c r="Y33" i="5" s="1"/>
  <c r="I33" i="5"/>
  <c r="G33" i="5"/>
  <c r="E33" i="5"/>
  <c r="M31" i="5"/>
  <c r="Y31" i="5" s="1"/>
  <c r="I31" i="5"/>
  <c r="G31" i="5"/>
  <c r="E31" i="5"/>
  <c r="M29" i="5"/>
  <c r="Y29" i="5" s="1"/>
  <c r="I29" i="5"/>
  <c r="G29" i="5"/>
  <c r="E29" i="5"/>
  <c r="P50" i="5"/>
  <c r="P51" i="5" s="1"/>
  <c r="M27" i="5"/>
  <c r="R27" i="5" s="1"/>
  <c r="W27" i="5" s="1"/>
  <c r="I27" i="5"/>
  <c r="G27" i="5"/>
  <c r="E27" i="5"/>
  <c r="M24" i="5"/>
  <c r="I24" i="5"/>
  <c r="G24" i="5"/>
  <c r="E24" i="5"/>
  <c r="M15" i="5"/>
  <c r="Y15" i="5" s="1"/>
  <c r="I15" i="5"/>
  <c r="G15" i="5"/>
  <c r="E15" i="5"/>
  <c r="M19" i="5"/>
  <c r="Y19" i="5" s="1"/>
  <c r="I19" i="5"/>
  <c r="G19" i="5"/>
  <c r="E19" i="5"/>
  <c r="M17" i="5"/>
  <c r="R17" i="5" s="1"/>
  <c r="W17" i="5" s="1"/>
  <c r="I17" i="5"/>
  <c r="G17" i="5"/>
  <c r="E17" i="5"/>
  <c r="Y7" i="5"/>
  <c r="Z7" i="5" s="1"/>
  <c r="AA7" i="5" s="1"/>
  <c r="X7" i="5" s="1"/>
  <c r="W7" i="5"/>
  <c r="M22" i="5"/>
  <c r="Y22" i="5" s="1"/>
  <c r="I22" i="5"/>
  <c r="G22" i="5"/>
  <c r="E22" i="5"/>
  <c r="Y4" i="5"/>
  <c r="Z4" i="5" s="1"/>
  <c r="M13" i="5"/>
  <c r="Y13" i="5" s="1"/>
  <c r="I13" i="5"/>
  <c r="G13" i="5"/>
  <c r="E13" i="5"/>
  <c r="F56" i="5"/>
  <c r="F57" i="5" s="1"/>
  <c r="F58" i="5" s="1"/>
  <c r="E56" i="5"/>
  <c r="E57" i="5" s="1"/>
  <c r="E58" i="5" s="1"/>
  <c r="D56" i="5"/>
  <c r="D57" i="5" s="1"/>
  <c r="Y51" i="5"/>
  <c r="Y50" i="5"/>
  <c r="J50" i="5"/>
  <c r="Y49" i="5"/>
  <c r="J49" i="5"/>
  <c r="S11" i="5"/>
  <c r="M11" i="5"/>
  <c r="R11" i="5" s="1"/>
  <c r="I11" i="5"/>
  <c r="G11" i="5"/>
  <c r="E11" i="5"/>
  <c r="M10" i="5"/>
  <c r="R10" i="5" s="1"/>
  <c r="I10" i="5"/>
  <c r="G10" i="5"/>
  <c r="E10" i="5"/>
  <c r="M8" i="5"/>
  <c r="Y8" i="5" s="1"/>
  <c r="I8" i="5"/>
  <c r="G8" i="5"/>
  <c r="E8" i="5"/>
  <c r="W6" i="5"/>
  <c r="W5" i="5"/>
  <c r="W4" i="5"/>
  <c r="AE1" i="5"/>
  <c r="AE2" i="5" s="1"/>
  <c r="AP8" i="5" l="1"/>
  <c r="AO8" i="5"/>
  <c r="AO6" i="5"/>
  <c r="AP6" i="5" s="1"/>
  <c r="AN14" i="5"/>
  <c r="AO14" i="5" s="1"/>
  <c r="AP14" i="5" s="1"/>
  <c r="AL15" i="5"/>
  <c r="AK15" i="5"/>
  <c r="AM15" i="5" s="1"/>
  <c r="AH16" i="5"/>
  <c r="Y42" i="5"/>
  <c r="Z42" i="5" s="1"/>
  <c r="AA42" i="5" s="1"/>
  <c r="Z6" i="5"/>
  <c r="AA6" i="5" s="1"/>
  <c r="U6" i="5" s="1"/>
  <c r="J9" i="5"/>
  <c r="L9" i="5" s="1"/>
  <c r="J23" i="5"/>
  <c r="L23" i="5" s="1"/>
  <c r="J42" i="5"/>
  <c r="L42" i="5" s="1"/>
  <c r="J25" i="5"/>
  <c r="L25" i="5" s="1"/>
  <c r="J14" i="5"/>
  <c r="L14" i="5" s="1"/>
  <c r="Y25" i="5"/>
  <c r="J18" i="5"/>
  <c r="L18" i="5" s="1"/>
  <c r="Y9" i="5"/>
  <c r="Z9" i="5" s="1"/>
  <c r="AA9" i="5" s="1"/>
  <c r="J20" i="5"/>
  <c r="L20" i="5" s="1"/>
  <c r="Y23" i="5"/>
  <c r="R23" i="5"/>
  <c r="W23" i="5" s="1"/>
  <c r="R20" i="5"/>
  <c r="W20" i="5" s="1"/>
  <c r="Y20" i="5"/>
  <c r="Y18" i="5"/>
  <c r="R18" i="5"/>
  <c r="W18" i="5" s="1"/>
  <c r="Y14" i="5"/>
  <c r="R14" i="5"/>
  <c r="W14" i="5" s="1"/>
  <c r="J24" i="5"/>
  <c r="L24" i="5" s="1"/>
  <c r="U7" i="5"/>
  <c r="J13" i="5"/>
  <c r="L13" i="5" s="1"/>
  <c r="J38" i="5"/>
  <c r="L38" i="5" s="1"/>
  <c r="J43" i="5"/>
  <c r="L43" i="5" s="1"/>
  <c r="J31" i="5"/>
  <c r="L31" i="5" s="1"/>
  <c r="R40" i="5"/>
  <c r="W40" i="5" s="1"/>
  <c r="R29" i="5"/>
  <c r="W29" i="5" s="1"/>
  <c r="P53" i="5"/>
  <c r="P52" i="5"/>
  <c r="J33" i="5"/>
  <c r="L33" i="5" s="1"/>
  <c r="J36" i="5"/>
  <c r="L36" i="5" s="1"/>
  <c r="J40" i="5"/>
  <c r="L40" i="5" s="1"/>
  <c r="R33" i="5"/>
  <c r="Z33" i="5" s="1"/>
  <c r="J29" i="5"/>
  <c r="L29" i="5" s="1"/>
  <c r="B53" i="5"/>
  <c r="B52" i="5"/>
  <c r="Y38" i="5"/>
  <c r="Z38" i="5" s="1"/>
  <c r="R43" i="5"/>
  <c r="W43" i="5" s="1"/>
  <c r="Y36" i="5"/>
  <c r="Z36" i="5" s="1"/>
  <c r="Y43" i="5"/>
  <c r="R31" i="5"/>
  <c r="W31" i="5" s="1"/>
  <c r="R19" i="5"/>
  <c r="W19" i="5" s="1"/>
  <c r="J15" i="5"/>
  <c r="L15" i="5" s="1"/>
  <c r="J8" i="5"/>
  <c r="L8" i="5" s="1"/>
  <c r="Y10" i="5"/>
  <c r="Z10" i="5" s="1"/>
  <c r="J19" i="5"/>
  <c r="L19" i="5" s="1"/>
  <c r="J27" i="5"/>
  <c r="L27" i="5" s="1"/>
  <c r="J11" i="5"/>
  <c r="L11" i="5" s="1"/>
  <c r="Y11" i="5"/>
  <c r="Z11" i="5" s="1"/>
  <c r="W11" i="5"/>
  <c r="R13" i="5"/>
  <c r="W13" i="5" s="1"/>
  <c r="R15" i="5"/>
  <c r="W15" i="5" s="1"/>
  <c r="J10" i="5"/>
  <c r="L10" i="5" s="1"/>
  <c r="J22" i="5"/>
  <c r="L22" i="5" s="1"/>
  <c r="J17" i="5"/>
  <c r="L17" i="5" s="1"/>
  <c r="Y27" i="5"/>
  <c r="Z27" i="5" s="1"/>
  <c r="R24" i="5"/>
  <c r="W24" i="5" s="1"/>
  <c r="Y24" i="5"/>
  <c r="Y17" i="5"/>
  <c r="Z17" i="5" s="1"/>
  <c r="R22" i="5"/>
  <c r="W10" i="5"/>
  <c r="J57" i="5"/>
  <c r="N57" i="5" s="1"/>
  <c r="D58" i="5"/>
  <c r="J58" i="5" s="1"/>
  <c r="N58" i="5" s="1"/>
  <c r="R8" i="5"/>
  <c r="W8" i="5" s="1"/>
  <c r="AD36" i="5" s="1"/>
  <c r="J56" i="5"/>
  <c r="N56" i="5" s="1"/>
  <c r="Q10" i="3"/>
  <c r="Q9" i="3"/>
  <c r="Q8" i="3"/>
  <c r="Q7" i="3"/>
  <c r="AH17" i="5" l="1"/>
  <c r="AN15" i="5"/>
  <c r="AO15" i="5" s="1"/>
  <c r="AP15" i="5" s="1"/>
  <c r="X6" i="5"/>
  <c r="AD18" i="5"/>
  <c r="AD42" i="5"/>
  <c r="Z14" i="5"/>
  <c r="AA14" i="5" s="1"/>
  <c r="X14" i="5" s="1"/>
  <c r="Z18" i="5"/>
  <c r="AA18" i="5" s="1"/>
  <c r="X18" i="5" s="1"/>
  <c r="AD9" i="5"/>
  <c r="AD20" i="5"/>
  <c r="AD23" i="5"/>
  <c r="AF25" i="5"/>
  <c r="Z23" i="5"/>
  <c r="AA23" i="5" s="1"/>
  <c r="U23" i="5" s="1"/>
  <c r="AD25" i="5"/>
  <c r="AD14" i="5"/>
  <c r="Z25" i="5"/>
  <c r="AA25" i="5" s="1"/>
  <c r="X25" i="5" s="1"/>
  <c r="AF42" i="5"/>
  <c r="Z20" i="5"/>
  <c r="AA20" i="5" s="1"/>
  <c r="X20" i="5" s="1"/>
  <c r="AF23" i="5"/>
  <c r="AF20" i="5"/>
  <c r="AF18" i="5"/>
  <c r="AF14" i="5"/>
  <c r="AE14" i="5"/>
  <c r="U9" i="5"/>
  <c r="X9" i="5"/>
  <c r="U42" i="5"/>
  <c r="X42" i="5"/>
  <c r="AE42" i="5"/>
  <c r="W33" i="5"/>
  <c r="Z29" i="5"/>
  <c r="AA29" i="5" s="1"/>
  <c r="Z40" i="5"/>
  <c r="AA40" i="5" s="1"/>
  <c r="X40" i="5" s="1"/>
  <c r="AA38" i="5"/>
  <c r="AA17" i="5"/>
  <c r="AA33" i="5"/>
  <c r="AA36" i="5"/>
  <c r="AA27" i="5"/>
  <c r="Z19" i="5"/>
  <c r="AA10" i="5"/>
  <c r="AA11" i="5"/>
  <c r="AF43" i="5"/>
  <c r="AD38" i="5"/>
  <c r="AD40" i="5"/>
  <c r="AD43" i="5"/>
  <c r="AF40" i="5"/>
  <c r="AE38" i="5"/>
  <c r="AF36" i="5"/>
  <c r="Z43" i="5"/>
  <c r="AF38" i="5"/>
  <c r="AE36" i="5"/>
  <c r="AE33" i="5"/>
  <c r="Z31" i="5"/>
  <c r="AD31" i="5"/>
  <c r="AD33" i="5"/>
  <c r="AF33" i="5"/>
  <c r="AF31" i="5"/>
  <c r="AD17" i="5"/>
  <c r="AD29" i="5"/>
  <c r="AF29" i="5"/>
  <c r="AF15" i="5"/>
  <c r="AD19" i="5"/>
  <c r="AD24" i="5"/>
  <c r="W22" i="5"/>
  <c r="AD22" i="5" s="1"/>
  <c r="AD13" i="5"/>
  <c r="Z15" i="5"/>
  <c r="Z13" i="5"/>
  <c r="AF13" i="5"/>
  <c r="AD27" i="5"/>
  <c r="AF19" i="5"/>
  <c r="Z22" i="5"/>
  <c r="AD15" i="5"/>
  <c r="Z8" i="5"/>
  <c r="AF27" i="5"/>
  <c r="AE27" i="5"/>
  <c r="Z24" i="5"/>
  <c r="AF24" i="5"/>
  <c r="AF17" i="5"/>
  <c r="AE17" i="5"/>
  <c r="AF22" i="5"/>
  <c r="AD8" i="5"/>
  <c r="AD11" i="5"/>
  <c r="AD10" i="5"/>
  <c r="AD7" i="5" s="1"/>
  <c r="R9" i="3"/>
  <c r="R10" i="3"/>
  <c r="R8" i="3"/>
  <c r="I27" i="3"/>
  <c r="I29" i="3"/>
  <c r="I30" i="3" s="1"/>
  <c r="AG12" i="4"/>
  <c r="AG10" i="4"/>
  <c r="AG9" i="4"/>
  <c r="AG8" i="4"/>
  <c r="AG7" i="4"/>
  <c r="AG6" i="4"/>
  <c r="AF17" i="4"/>
  <c r="AF16" i="4"/>
  <c r="AF12" i="4"/>
  <c r="AF11" i="4"/>
  <c r="AF10" i="4"/>
  <c r="AF9" i="4"/>
  <c r="AF8" i="4"/>
  <c r="AF7" i="4"/>
  <c r="AF6" i="4"/>
  <c r="AE12" i="4"/>
  <c r="AE10" i="4"/>
  <c r="AE9" i="4"/>
  <c r="AE8" i="4"/>
  <c r="AE7" i="4"/>
  <c r="AE4" i="4"/>
  <c r="AD17" i="4"/>
  <c r="AD16" i="4"/>
  <c r="AD12" i="4"/>
  <c r="AD11" i="4"/>
  <c r="AD10" i="4"/>
  <c r="AD9" i="4"/>
  <c r="AD8" i="4"/>
  <c r="AD7" i="4"/>
  <c r="AD5" i="4"/>
  <c r="AC12" i="4"/>
  <c r="AC10" i="4"/>
  <c r="AC9" i="4"/>
  <c r="AC8" i="4"/>
  <c r="AC7" i="4"/>
  <c r="AC6" i="4"/>
  <c r="AC5" i="4"/>
  <c r="AC4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A17" i="4"/>
  <c r="AA16" i="4"/>
  <c r="AA12" i="4"/>
  <c r="AA11" i="4"/>
  <c r="AA10" i="4"/>
  <c r="AA9" i="4"/>
  <c r="AA8" i="4"/>
  <c r="AA7" i="4"/>
  <c r="AA6" i="4"/>
  <c r="AA5" i="4"/>
  <c r="AA4" i="4"/>
  <c r="Z17" i="4"/>
  <c r="Z16" i="4"/>
  <c r="Z15" i="4"/>
  <c r="Z14" i="4"/>
  <c r="Z13" i="4"/>
  <c r="Z12" i="4"/>
  <c r="Z11" i="4"/>
  <c r="Z10" i="4"/>
  <c r="Z9" i="4"/>
  <c r="Z8" i="4"/>
  <c r="Z7" i="4"/>
  <c r="Y17" i="4"/>
  <c r="Y16" i="4"/>
  <c r="Y15" i="4"/>
  <c r="Y14" i="4"/>
  <c r="Y13" i="4"/>
  <c r="Y12" i="4"/>
  <c r="Y11" i="4"/>
  <c r="Y10" i="4"/>
  <c r="Y9" i="4"/>
  <c r="Y8" i="4"/>
  <c r="Y7" i="4"/>
  <c r="Y6" i="4"/>
  <c r="S12" i="4"/>
  <c r="R12" i="4"/>
  <c r="O12" i="4"/>
  <c r="Q12" i="4"/>
  <c r="H12" i="4"/>
  <c r="F12" i="4"/>
  <c r="D12" i="4"/>
  <c r="I12" i="4" s="1"/>
  <c r="V10" i="4"/>
  <c r="AI10" i="4" s="1"/>
  <c r="T10" i="4"/>
  <c r="U9" i="4"/>
  <c r="AH9" i="4" s="1"/>
  <c r="T9" i="4"/>
  <c r="T8" i="4"/>
  <c r="T7" i="4"/>
  <c r="S10" i="4"/>
  <c r="R10" i="4"/>
  <c r="Q10" i="4"/>
  <c r="O10" i="4"/>
  <c r="H10" i="4"/>
  <c r="F10" i="4"/>
  <c r="D10" i="4"/>
  <c r="I10" i="4" s="1"/>
  <c r="K10" i="4" s="1"/>
  <c r="Y4" i="4"/>
  <c r="Y5" i="4"/>
  <c r="E30" i="4"/>
  <c r="E31" i="4" s="1"/>
  <c r="E32" i="4" s="1"/>
  <c r="D30" i="4"/>
  <c r="D31" i="4" s="1"/>
  <c r="D32" i="4" s="1"/>
  <c r="C30" i="4"/>
  <c r="C31" i="4" s="1"/>
  <c r="S25" i="4"/>
  <c r="S24" i="4"/>
  <c r="I24" i="4"/>
  <c r="S23" i="4"/>
  <c r="I23" i="4"/>
  <c r="L17" i="4"/>
  <c r="S17" i="4" s="1"/>
  <c r="L16" i="4"/>
  <c r="S16" i="4" s="1"/>
  <c r="L15" i="4"/>
  <c r="O15" i="4" s="1"/>
  <c r="AA15" i="4" s="1"/>
  <c r="S14" i="4"/>
  <c r="AF14" i="4" s="1"/>
  <c r="L14" i="4"/>
  <c r="O14" i="4" s="1"/>
  <c r="AA14" i="4" s="1"/>
  <c r="L13" i="4"/>
  <c r="S13" i="4" s="1"/>
  <c r="AF13" i="4" s="1"/>
  <c r="L11" i="4"/>
  <c r="S11" i="4" s="1"/>
  <c r="S8" i="4"/>
  <c r="R8" i="4" s="1"/>
  <c r="P8" i="4"/>
  <c r="L8" i="4"/>
  <c r="O8" i="4" s="1"/>
  <c r="Q8" i="4" s="1"/>
  <c r="H8" i="4"/>
  <c r="F8" i="4"/>
  <c r="F16" i="4" s="1"/>
  <c r="D8" i="4"/>
  <c r="D15" i="4" s="1"/>
  <c r="S9" i="4"/>
  <c r="L9" i="4"/>
  <c r="O9" i="4" s="1"/>
  <c r="H9" i="4"/>
  <c r="F9" i="4"/>
  <c r="D9" i="4"/>
  <c r="L7" i="4"/>
  <c r="S7" i="4" s="1"/>
  <c r="H7" i="4"/>
  <c r="H11" i="4" s="1"/>
  <c r="H14" i="4" s="1"/>
  <c r="H15" i="4" s="1"/>
  <c r="F7" i="4"/>
  <c r="I7" i="4" s="1"/>
  <c r="K7" i="4" s="1"/>
  <c r="D7" i="4"/>
  <c r="D11" i="4" s="1"/>
  <c r="S6" i="4"/>
  <c r="R6" i="4" s="1"/>
  <c r="AD6" i="4" s="1"/>
  <c r="Q6" i="4"/>
  <c r="AE6" i="4" s="1"/>
  <c r="S5" i="4"/>
  <c r="AF5" i="4" s="1"/>
  <c r="Q5" i="4"/>
  <c r="AE5" i="4" s="1"/>
  <c r="S4" i="4"/>
  <c r="R4" i="4" s="1"/>
  <c r="AD4" i="4" s="1"/>
  <c r="Q4" i="4"/>
  <c r="U1" i="4"/>
  <c r="U2" i="4" s="1"/>
  <c r="I25" i="3"/>
  <c r="I26" i="3" s="1"/>
  <c r="M30" i="2"/>
  <c r="M29" i="2"/>
  <c r="M28" i="2"/>
  <c r="E30" i="2"/>
  <c r="D30" i="2"/>
  <c r="C30" i="2"/>
  <c r="E29" i="2"/>
  <c r="D29" i="2"/>
  <c r="C29" i="2"/>
  <c r="I29" i="2" s="1"/>
  <c r="I28" i="2"/>
  <c r="E28" i="2"/>
  <c r="D28" i="2"/>
  <c r="C28" i="2"/>
  <c r="F24" i="3"/>
  <c r="I24" i="3"/>
  <c r="F29" i="3"/>
  <c r="F25" i="3"/>
  <c r="F27" i="3"/>
  <c r="F28" i="3" s="1"/>
  <c r="D31" i="3"/>
  <c r="D29" i="3"/>
  <c r="D27" i="3"/>
  <c r="D25" i="3"/>
  <c r="D24" i="3"/>
  <c r="B31" i="3"/>
  <c r="B29" i="3"/>
  <c r="B27" i="3"/>
  <c r="B25" i="3"/>
  <c r="B24" i="3"/>
  <c r="P10" i="2"/>
  <c r="AL17" i="5" l="1"/>
  <c r="AH18" i="5"/>
  <c r="AK17" i="5"/>
  <c r="AM17" i="5" s="1"/>
  <c r="U25" i="5"/>
  <c r="U18" i="5"/>
  <c r="AE29" i="5"/>
  <c r="U14" i="5"/>
  <c r="AE25" i="5"/>
  <c r="AE18" i="5"/>
  <c r="AE20" i="5"/>
  <c r="X23" i="5"/>
  <c r="U20" i="5"/>
  <c r="AE23" i="5"/>
  <c r="AE9" i="5"/>
  <c r="AE40" i="5"/>
  <c r="U40" i="5"/>
  <c r="U33" i="5"/>
  <c r="X33" i="5"/>
  <c r="U29" i="5"/>
  <c r="X29" i="5"/>
  <c r="U27" i="5"/>
  <c r="X27" i="5"/>
  <c r="X17" i="5"/>
  <c r="U17" i="5"/>
  <c r="U11" i="5"/>
  <c r="X11" i="5"/>
  <c r="U10" i="5"/>
  <c r="X10" i="5"/>
  <c r="U38" i="5"/>
  <c r="X38" i="5"/>
  <c r="X36" i="5"/>
  <c r="U36" i="5"/>
  <c r="AA24" i="5"/>
  <c r="AA31" i="5"/>
  <c r="AA19" i="5"/>
  <c r="AA22" i="5"/>
  <c r="AE24" i="5"/>
  <c r="AE19" i="5"/>
  <c r="AA13" i="5"/>
  <c r="AA8" i="5"/>
  <c r="AE43" i="5"/>
  <c r="AA43" i="5"/>
  <c r="AE31" i="5"/>
  <c r="AA15" i="5"/>
  <c r="AE15" i="5"/>
  <c r="AE13" i="5"/>
  <c r="AE22" i="5"/>
  <c r="AE7" i="5"/>
  <c r="AD51" i="5"/>
  <c r="AE8" i="5"/>
  <c r="AD6" i="5"/>
  <c r="AF7" i="5" s="1"/>
  <c r="AE10" i="5"/>
  <c r="AE11" i="5"/>
  <c r="I28" i="3"/>
  <c r="D30" i="3"/>
  <c r="D28" i="3"/>
  <c r="D32" i="3"/>
  <c r="B32" i="3"/>
  <c r="F26" i="3"/>
  <c r="AF4" i="4"/>
  <c r="V9" i="4"/>
  <c r="AI9" i="4" s="1"/>
  <c r="K12" i="4"/>
  <c r="P12" i="4"/>
  <c r="T12" i="4"/>
  <c r="U10" i="4"/>
  <c r="AH10" i="4" s="1"/>
  <c r="D14" i="4"/>
  <c r="I9" i="4"/>
  <c r="K9" i="4" s="1"/>
  <c r="D17" i="4"/>
  <c r="D13" i="4"/>
  <c r="R9" i="4"/>
  <c r="Q9" i="4"/>
  <c r="S15" i="4"/>
  <c r="I8" i="4"/>
  <c r="K8" i="4" s="1"/>
  <c r="O17" i="4"/>
  <c r="R17" i="4" s="1"/>
  <c r="O13" i="4"/>
  <c r="I31" i="4"/>
  <c r="M31" i="4" s="1"/>
  <c r="C32" i="4"/>
  <c r="I32" i="4" s="1"/>
  <c r="M32" i="4" s="1"/>
  <c r="R14" i="4"/>
  <c r="AD14" i="4" s="1"/>
  <c r="O7" i="4"/>
  <c r="Q7" i="4" s="1"/>
  <c r="O11" i="4"/>
  <c r="R11" i="4" s="1"/>
  <c r="F13" i="4"/>
  <c r="F17" i="4"/>
  <c r="H13" i="4"/>
  <c r="H17" i="4" s="1"/>
  <c r="H16" i="4" s="1"/>
  <c r="D16" i="4"/>
  <c r="I30" i="4"/>
  <c r="M30" i="4" s="1"/>
  <c r="O16" i="4"/>
  <c r="F11" i="4"/>
  <c r="F14" i="4" s="1"/>
  <c r="F15" i="4" s="1"/>
  <c r="I15" i="4" s="1"/>
  <c r="D26" i="3"/>
  <c r="B30" i="3"/>
  <c r="F30" i="3"/>
  <c r="I30" i="2"/>
  <c r="B26" i="3"/>
  <c r="B28" i="3"/>
  <c r="S15" i="1"/>
  <c r="R15" i="1" s="1"/>
  <c r="O15" i="1"/>
  <c r="L15" i="1"/>
  <c r="L14" i="1"/>
  <c r="S14" i="1" s="1"/>
  <c r="F14" i="1"/>
  <c r="S13" i="1"/>
  <c r="R13" i="1" s="1"/>
  <c r="O13" i="1"/>
  <c r="L13" i="1"/>
  <c r="L12" i="1"/>
  <c r="O12" i="1" s="1"/>
  <c r="D12" i="1"/>
  <c r="S11" i="1"/>
  <c r="R11" i="1" s="1"/>
  <c r="O11" i="1"/>
  <c r="L11" i="1"/>
  <c r="L10" i="1"/>
  <c r="S10" i="1" s="1"/>
  <c r="S9" i="1"/>
  <c r="R9" i="1" s="1"/>
  <c r="P9" i="1"/>
  <c r="L9" i="1"/>
  <c r="O9" i="1" s="1"/>
  <c r="Q9" i="1" s="1"/>
  <c r="H9" i="1"/>
  <c r="I9" i="1" s="1"/>
  <c r="K9" i="1" s="1"/>
  <c r="F9" i="1"/>
  <c r="D9" i="1"/>
  <c r="D13" i="1" s="1"/>
  <c r="L8" i="1"/>
  <c r="O8" i="1" s="1"/>
  <c r="Q8" i="1" s="1"/>
  <c r="H8" i="1"/>
  <c r="F8" i="1"/>
  <c r="D8" i="1"/>
  <c r="I8" i="1" s="1"/>
  <c r="K8" i="1" s="1"/>
  <c r="S7" i="1"/>
  <c r="L7" i="1"/>
  <c r="O7" i="1" s="1"/>
  <c r="Q7" i="1" s="1"/>
  <c r="H7" i="1"/>
  <c r="H10" i="1" s="1"/>
  <c r="H12" i="1" s="1"/>
  <c r="H13" i="1" s="1"/>
  <c r="F7" i="1"/>
  <c r="F10" i="1" s="1"/>
  <c r="F12" i="1" s="1"/>
  <c r="F13" i="1" s="1"/>
  <c r="D7" i="1"/>
  <c r="I7" i="1" s="1"/>
  <c r="K7" i="1" s="1"/>
  <c r="S6" i="1"/>
  <c r="R6" i="1" s="1"/>
  <c r="Q6" i="1"/>
  <c r="S5" i="1"/>
  <c r="Q5" i="1"/>
  <c r="S4" i="1"/>
  <c r="R4" i="1" s="1"/>
  <c r="Q4" i="1"/>
  <c r="S15" i="2"/>
  <c r="S23" i="2"/>
  <c r="S22" i="2"/>
  <c r="I22" i="2"/>
  <c r="S21" i="2"/>
  <c r="I21" i="2"/>
  <c r="O15" i="2"/>
  <c r="R15" i="2" s="1"/>
  <c r="L15" i="2"/>
  <c r="D15" i="2"/>
  <c r="L14" i="2"/>
  <c r="S14" i="2" s="1"/>
  <c r="S13" i="2"/>
  <c r="L13" i="2"/>
  <c r="O13" i="2" s="1"/>
  <c r="S12" i="2"/>
  <c r="O12" i="2"/>
  <c r="L12" i="2"/>
  <c r="D12" i="2"/>
  <c r="L11" i="2"/>
  <c r="S11" i="2" s="1"/>
  <c r="D11" i="2"/>
  <c r="S10" i="2"/>
  <c r="L10" i="2"/>
  <c r="O10" i="2" s="1"/>
  <c r="S9" i="2"/>
  <c r="P9" i="2"/>
  <c r="L9" i="2"/>
  <c r="O9" i="2" s="1"/>
  <c r="H9" i="2"/>
  <c r="F9" i="2"/>
  <c r="F14" i="2" s="1"/>
  <c r="D9" i="2"/>
  <c r="D13" i="2" s="1"/>
  <c r="L8" i="2"/>
  <c r="S8" i="2" s="1"/>
  <c r="H8" i="2"/>
  <c r="F8" i="2"/>
  <c r="D8" i="2"/>
  <c r="I8" i="2" s="1"/>
  <c r="K8" i="2" s="1"/>
  <c r="S7" i="2"/>
  <c r="R7" i="2" s="1"/>
  <c r="L7" i="2"/>
  <c r="O7" i="2" s="1"/>
  <c r="Q7" i="2" s="1"/>
  <c r="H7" i="2"/>
  <c r="H11" i="2" s="1"/>
  <c r="H15" i="2" s="1"/>
  <c r="H14" i="2" s="1"/>
  <c r="F7" i="2"/>
  <c r="F10" i="2" s="1"/>
  <c r="F12" i="2" s="1"/>
  <c r="F13" i="2" s="1"/>
  <c r="D7" i="2"/>
  <c r="D10" i="2" s="1"/>
  <c r="S6" i="2"/>
  <c r="R6" i="2"/>
  <c r="Q6" i="2"/>
  <c r="S5" i="2"/>
  <c r="Q5" i="2"/>
  <c r="S4" i="2"/>
  <c r="R4" i="2"/>
  <c r="Q4" i="2"/>
  <c r="U2" i="2"/>
  <c r="U1" i="2"/>
  <c r="AN17" i="5" l="1"/>
  <c r="AO17" i="5" s="1"/>
  <c r="AP17" i="5" s="1"/>
  <c r="AH19" i="5"/>
  <c r="AK18" i="5"/>
  <c r="AM18" i="5" s="1"/>
  <c r="AL18" i="5"/>
  <c r="AF9" i="5"/>
  <c r="X31" i="5"/>
  <c r="U31" i="5"/>
  <c r="X24" i="5"/>
  <c r="U24" i="5"/>
  <c r="X22" i="5"/>
  <c r="U22" i="5"/>
  <c r="X19" i="5"/>
  <c r="U19" i="5"/>
  <c r="X15" i="5"/>
  <c r="U15" i="5"/>
  <c r="X13" i="5"/>
  <c r="U13" i="5"/>
  <c r="X8" i="5"/>
  <c r="U8" i="5"/>
  <c r="U43" i="5"/>
  <c r="X43" i="5"/>
  <c r="AF6" i="5"/>
  <c r="AE6" i="5"/>
  <c r="AD5" i="5"/>
  <c r="AF10" i="5"/>
  <c r="AE51" i="5"/>
  <c r="AD50" i="5"/>
  <c r="AE50" i="5" s="1"/>
  <c r="AF11" i="5"/>
  <c r="AF8" i="5"/>
  <c r="R15" i="4"/>
  <c r="AD15" i="4" s="1"/>
  <c r="AF15" i="4"/>
  <c r="R13" i="4"/>
  <c r="AD13" i="4" s="1"/>
  <c r="AA13" i="4"/>
  <c r="V12" i="4"/>
  <c r="AI12" i="4" s="1"/>
  <c r="U12" i="4"/>
  <c r="AH12" i="4" s="1"/>
  <c r="I16" i="4"/>
  <c r="I17" i="4"/>
  <c r="P17" i="4" s="1"/>
  <c r="I13" i="4"/>
  <c r="P13" i="4" s="1"/>
  <c r="T25" i="4"/>
  <c r="K17" i="4"/>
  <c r="P15" i="4"/>
  <c r="K15" i="4"/>
  <c r="P16" i="4"/>
  <c r="K16" i="4"/>
  <c r="I11" i="4"/>
  <c r="R7" i="4"/>
  <c r="I14" i="4"/>
  <c r="R16" i="4"/>
  <c r="I13" i="1"/>
  <c r="T7" i="1"/>
  <c r="T8" i="1"/>
  <c r="T9" i="1"/>
  <c r="I12" i="1"/>
  <c r="R14" i="1"/>
  <c r="R7" i="1"/>
  <c r="S8" i="1"/>
  <c r="R8" i="1" s="1"/>
  <c r="O10" i="1"/>
  <c r="D11" i="1"/>
  <c r="I11" i="1" s="1"/>
  <c r="S12" i="1"/>
  <c r="R12" i="1" s="1"/>
  <c r="O14" i="1"/>
  <c r="D15" i="1"/>
  <c r="I15" i="1" s="1"/>
  <c r="F11" i="1"/>
  <c r="F15" i="1"/>
  <c r="D10" i="1"/>
  <c r="I10" i="1" s="1"/>
  <c r="H11" i="1"/>
  <c r="H15" i="1" s="1"/>
  <c r="H14" i="1" s="1"/>
  <c r="D14" i="1"/>
  <c r="I14" i="1" s="1"/>
  <c r="R12" i="2"/>
  <c r="R9" i="2"/>
  <c r="Q9" i="2"/>
  <c r="T9" i="2" s="1"/>
  <c r="R10" i="2"/>
  <c r="R13" i="2"/>
  <c r="T7" i="2"/>
  <c r="H10" i="2"/>
  <c r="H12" i="2" s="1"/>
  <c r="H13" i="2" s="1"/>
  <c r="I13" i="2" s="1"/>
  <c r="P13" i="2" s="1"/>
  <c r="I7" i="2"/>
  <c r="K7" i="2" s="1"/>
  <c r="O14" i="2"/>
  <c r="O8" i="2"/>
  <c r="Q8" i="2" s="1"/>
  <c r="T8" i="2" s="1"/>
  <c r="F15" i="2"/>
  <c r="I15" i="2" s="1"/>
  <c r="P15" i="2" s="1"/>
  <c r="Q15" i="2" s="1"/>
  <c r="D14" i="2"/>
  <c r="I14" i="2" s="1"/>
  <c r="P14" i="2" s="1"/>
  <c r="F11" i="2"/>
  <c r="I11" i="2" s="1"/>
  <c r="P11" i="2" s="1"/>
  <c r="O11" i="2"/>
  <c r="R11" i="2" s="1"/>
  <c r="I9" i="2"/>
  <c r="K9" i="2" s="1"/>
  <c r="S23" i="1"/>
  <c r="S22" i="1"/>
  <c r="I22" i="1"/>
  <c r="I21" i="1"/>
  <c r="S21" i="1"/>
  <c r="U1" i="1"/>
  <c r="AN18" i="5" l="1"/>
  <c r="AO18" i="5" s="1"/>
  <c r="AP18" i="5" s="1"/>
  <c r="AK19" i="5"/>
  <c r="AM19" i="5" s="1"/>
  <c r="AL19" i="5"/>
  <c r="AH20" i="5"/>
  <c r="AE5" i="5"/>
  <c r="Q17" i="4"/>
  <c r="AC17" i="4"/>
  <c r="Q16" i="4"/>
  <c r="AC16" i="4"/>
  <c r="Q15" i="4"/>
  <c r="AC15" i="4"/>
  <c r="Q13" i="4"/>
  <c r="AC13" i="4"/>
  <c r="K13" i="4"/>
  <c r="U7" i="4"/>
  <c r="AH7" i="4" s="1"/>
  <c r="T6" i="4"/>
  <c r="K11" i="4"/>
  <c r="P11" i="4"/>
  <c r="U8" i="4"/>
  <c r="AH8" i="4" s="1"/>
  <c r="P14" i="4"/>
  <c r="K14" i="4"/>
  <c r="U25" i="4"/>
  <c r="T24" i="4"/>
  <c r="U24" i="4" s="1"/>
  <c r="K15" i="1"/>
  <c r="P15" i="1"/>
  <c r="Q15" i="1" s="1"/>
  <c r="T15" i="1" s="1"/>
  <c r="P14" i="1"/>
  <c r="Q14" i="1" s="1"/>
  <c r="T14" i="1" s="1"/>
  <c r="K14" i="1"/>
  <c r="P12" i="1"/>
  <c r="Q12" i="1" s="1"/>
  <c r="T12" i="1" s="1"/>
  <c r="K12" i="1"/>
  <c r="U8" i="1"/>
  <c r="R10" i="1"/>
  <c r="U7" i="1"/>
  <c r="T6" i="1"/>
  <c r="V7" i="1" s="1"/>
  <c r="K11" i="1"/>
  <c r="P11" i="1"/>
  <c r="Q11" i="1" s="1"/>
  <c r="T11" i="1" s="1"/>
  <c r="U9" i="1"/>
  <c r="P10" i="1"/>
  <c r="Q10" i="1" s="1"/>
  <c r="T10" i="1" s="1"/>
  <c r="K10" i="1"/>
  <c r="P13" i="1"/>
  <c r="Q13" i="1" s="1"/>
  <c r="T13" i="1" s="1"/>
  <c r="K13" i="1"/>
  <c r="Q13" i="2"/>
  <c r="T13" i="2" s="1"/>
  <c r="K13" i="2"/>
  <c r="K15" i="2"/>
  <c r="T15" i="2"/>
  <c r="U8" i="2"/>
  <c r="V9" i="2"/>
  <c r="U9" i="2"/>
  <c r="K14" i="2"/>
  <c r="T23" i="2"/>
  <c r="T6" i="2"/>
  <c r="U7" i="2"/>
  <c r="Q14" i="2"/>
  <c r="T14" i="2" s="1"/>
  <c r="I10" i="2"/>
  <c r="Q11" i="2"/>
  <c r="T11" i="2" s="1"/>
  <c r="K11" i="2"/>
  <c r="R8" i="2"/>
  <c r="I12" i="2"/>
  <c r="P12" i="2" s="1"/>
  <c r="R14" i="2"/>
  <c r="U2" i="1"/>
  <c r="AH21" i="5" l="1"/>
  <c r="AH22" i="5" s="1"/>
  <c r="AK20" i="5"/>
  <c r="AM20" i="5" s="1"/>
  <c r="AL20" i="5"/>
  <c r="AN19" i="5"/>
  <c r="AO19" i="5" s="1"/>
  <c r="AP19" i="5" s="1"/>
  <c r="T15" i="4"/>
  <c r="AE15" i="4"/>
  <c r="Q11" i="4"/>
  <c r="AC11" i="4"/>
  <c r="T13" i="4"/>
  <c r="AE13" i="4"/>
  <c r="T16" i="4"/>
  <c r="AE16" i="4"/>
  <c r="Q14" i="4"/>
  <c r="AC14" i="4"/>
  <c r="T17" i="4"/>
  <c r="AE17" i="4"/>
  <c r="U6" i="4"/>
  <c r="AH6" i="4" s="1"/>
  <c r="V17" i="4"/>
  <c r="AI17" i="4" s="1"/>
  <c r="V15" i="4"/>
  <c r="AI15" i="4" s="1"/>
  <c r="V6" i="4"/>
  <c r="AI6" i="4" s="1"/>
  <c r="V8" i="4"/>
  <c r="AI8" i="4" s="1"/>
  <c r="V7" i="4"/>
  <c r="AI7" i="4" s="1"/>
  <c r="T5" i="4"/>
  <c r="V10" i="1"/>
  <c r="U10" i="1"/>
  <c r="U14" i="1"/>
  <c r="V14" i="1"/>
  <c r="V13" i="1"/>
  <c r="U13" i="1"/>
  <c r="V11" i="1"/>
  <c r="U11" i="1"/>
  <c r="V15" i="1"/>
  <c r="U15" i="1"/>
  <c r="V12" i="1"/>
  <c r="U12" i="1"/>
  <c r="T5" i="1"/>
  <c r="V6" i="1"/>
  <c r="U6" i="1"/>
  <c r="V9" i="1"/>
  <c r="V8" i="1"/>
  <c r="U11" i="2"/>
  <c r="V11" i="2"/>
  <c r="U13" i="2"/>
  <c r="V13" i="2"/>
  <c r="U14" i="2"/>
  <c r="V14" i="2"/>
  <c r="K12" i="2"/>
  <c r="Q12" i="2"/>
  <c r="T12" i="2" s="1"/>
  <c r="V6" i="2"/>
  <c r="T5" i="2"/>
  <c r="U6" i="2"/>
  <c r="U23" i="2"/>
  <c r="T22" i="2"/>
  <c r="U22" i="2" s="1"/>
  <c r="V7" i="2"/>
  <c r="V15" i="2"/>
  <c r="U15" i="2"/>
  <c r="V8" i="2"/>
  <c r="Q10" i="2"/>
  <c r="T10" i="2" s="1"/>
  <c r="V10" i="2" s="1"/>
  <c r="K10" i="2"/>
  <c r="AN20" i="5" l="1"/>
  <c r="AO20" i="5" s="1"/>
  <c r="AP20" i="5" s="1"/>
  <c r="AL22" i="5"/>
  <c r="AK22" i="5"/>
  <c r="AM22" i="5" s="1"/>
  <c r="AH23" i="5"/>
  <c r="AG16" i="4"/>
  <c r="U16" i="4"/>
  <c r="AH16" i="4" s="1"/>
  <c r="T11" i="4"/>
  <c r="AE11" i="4"/>
  <c r="AG13" i="4"/>
  <c r="U13" i="4"/>
  <c r="AH13" i="4" s="1"/>
  <c r="AG17" i="4"/>
  <c r="U17" i="4"/>
  <c r="AH17" i="4" s="1"/>
  <c r="V13" i="4"/>
  <c r="AI13" i="4" s="1"/>
  <c r="V16" i="4"/>
  <c r="AI16" i="4" s="1"/>
  <c r="T14" i="4"/>
  <c r="AE14" i="4"/>
  <c r="AG15" i="4"/>
  <c r="U15" i="4"/>
  <c r="AH15" i="4" s="1"/>
  <c r="U5" i="4"/>
  <c r="AH5" i="4" s="1"/>
  <c r="AG5" i="4"/>
  <c r="V5" i="4"/>
  <c r="AI5" i="4" s="1"/>
  <c r="U5" i="1"/>
  <c r="V5" i="1"/>
  <c r="U12" i="2"/>
  <c r="V12" i="2"/>
  <c r="U10" i="2"/>
  <c r="V5" i="2"/>
  <c r="U5" i="2"/>
  <c r="T23" i="1"/>
  <c r="AH24" i="5" l="1"/>
  <c r="AL23" i="5"/>
  <c r="AK23" i="5"/>
  <c r="AM23" i="5" s="1"/>
  <c r="AN22" i="5"/>
  <c r="AO22" i="5" s="1"/>
  <c r="AP22" i="5" s="1"/>
  <c r="AG11" i="4"/>
  <c r="V11" i="4"/>
  <c r="AI11" i="4" s="1"/>
  <c r="U11" i="4"/>
  <c r="AH11" i="4" s="1"/>
  <c r="AG14" i="4"/>
  <c r="V14" i="4"/>
  <c r="AI14" i="4" s="1"/>
  <c r="U14" i="4"/>
  <c r="AH14" i="4" s="1"/>
  <c r="T22" i="1"/>
  <c r="U22" i="1" s="1"/>
  <c r="U23" i="1"/>
  <c r="AF5" i="5"/>
  <c r="AA5" i="5"/>
  <c r="X5" i="5" s="1"/>
  <c r="AN23" i="5" l="1"/>
  <c r="AO23" i="5" s="1"/>
  <c r="AP23" i="5" s="1"/>
  <c r="AL24" i="5"/>
  <c r="AH25" i="5"/>
  <c r="AK24" i="5"/>
  <c r="AM24" i="5" s="1"/>
  <c r="U5" i="5"/>
  <c r="AN24" i="5" l="1"/>
  <c r="AO24" i="5" s="1"/>
  <c r="AP24" i="5" s="1"/>
  <c r="AK25" i="5"/>
  <c r="AM25" i="5" s="1"/>
  <c r="AL25" i="5"/>
  <c r="AH26" i="5"/>
  <c r="AH27" i="5" l="1"/>
  <c r="AH28" i="5" s="1"/>
  <c r="AN25" i="5"/>
  <c r="AO25" i="5" s="1"/>
  <c r="AP25" i="5" s="1"/>
  <c r="AK27" i="5" l="1"/>
  <c r="AM27" i="5" s="1"/>
  <c r="AL27" i="5"/>
  <c r="AN27" i="5" s="1"/>
  <c r="AO27" i="5" s="1"/>
  <c r="AP27" i="5" s="1"/>
  <c r="AH29" i="5"/>
  <c r="AL29" i="5" l="1"/>
  <c r="AK29" i="5"/>
  <c r="AM29" i="5" s="1"/>
  <c r="AH30" i="5"/>
  <c r="AN29" i="5" l="1"/>
  <c r="AO29" i="5" s="1"/>
  <c r="AP29" i="5" s="1"/>
  <c r="AH31" i="5"/>
  <c r="AL31" i="5" l="1"/>
  <c r="AK31" i="5"/>
  <c r="AM31" i="5" s="1"/>
  <c r="AH32" i="5"/>
  <c r="AN31" i="5" l="1"/>
  <c r="AO31" i="5" s="1"/>
  <c r="AP31" i="5" s="1"/>
  <c r="AH33" i="5"/>
  <c r="AH34" i="5" s="1"/>
  <c r="AH35" i="5" s="1"/>
  <c r="AK33" i="5" l="1"/>
  <c r="AM33" i="5" s="1"/>
  <c r="AL33" i="5"/>
  <c r="AH36" i="5"/>
  <c r="AL36" i="5" l="1"/>
  <c r="AK36" i="5"/>
  <c r="AM36" i="5" s="1"/>
  <c r="AH37" i="5"/>
  <c r="AN33" i="5"/>
  <c r="AO33" i="5" s="1"/>
  <c r="AP33" i="5" s="1"/>
  <c r="AN36" i="5" l="1"/>
  <c r="AO36" i="5" s="1"/>
  <c r="AP36" i="5" s="1"/>
  <c r="AH38" i="5"/>
  <c r="AL38" i="5" l="1"/>
  <c r="AK38" i="5"/>
  <c r="AM38" i="5" s="1"/>
  <c r="AH39" i="5"/>
  <c r="AN38" i="5" l="1"/>
  <c r="AO38" i="5" s="1"/>
  <c r="AP38" i="5" s="1"/>
  <c r="AH40" i="5"/>
  <c r="AL40" i="5" s="1"/>
  <c r="AK40" i="5" l="1"/>
  <c r="AM40" i="5" s="1"/>
  <c r="AH41" i="5"/>
  <c r="AH42" i="5" s="1"/>
  <c r="AN40" i="5" l="1"/>
  <c r="AO40" i="5" s="1"/>
  <c r="AP40" i="5" s="1"/>
  <c r="AL42" i="5"/>
  <c r="AH43" i="5"/>
  <c r="AK42" i="5"/>
  <c r="AM42" i="5" s="1"/>
  <c r="AN42" i="5" l="1"/>
  <c r="AO42" i="5" s="1"/>
  <c r="AP42" i="5" s="1"/>
  <c r="AL43" i="5"/>
  <c r="AK43" i="5"/>
  <c r="AM43" i="5" s="1"/>
  <c r="AN43" i="5" l="1"/>
  <c r="AO43" i="5" l="1"/>
  <c r="AP43" i="5" s="1"/>
</calcChain>
</file>

<file path=xl/sharedStrings.xml><?xml version="1.0" encoding="utf-8"?>
<sst xmlns="http://schemas.openxmlformats.org/spreadsheetml/2006/main" count="478" uniqueCount="123">
  <si>
    <t>c/3</t>
  </si>
  <si>
    <t>colmux</t>
  </si>
  <si>
    <t>rowmux</t>
  </si>
  <si>
    <t>tile logic</t>
  </si>
  <si>
    <t>4Kx4Kx4D</t>
  </si>
  <si>
    <t>2Kx4Kx4D</t>
  </si>
  <si>
    <t>2Kx4Kx2D</t>
  </si>
  <si>
    <t>4Kx2Kx2D</t>
  </si>
  <si>
    <t>4Kx2Kx4D</t>
  </si>
  <si>
    <t>8K c/3</t>
  </si>
  <si>
    <t>4K c/6</t>
  </si>
  <si>
    <t>2K c/6</t>
  </si>
  <si>
    <t>8k c/3</t>
  </si>
  <si>
    <t>4k c/6</t>
  </si>
  <si>
    <t>Scaling</t>
  </si>
  <si>
    <t>4Kx4Kx2D</t>
  </si>
  <si>
    <t># Partition</t>
  </si>
  <si>
    <t>2kx4k performance</t>
  </si>
  <si>
    <t>CMOS</t>
  </si>
  <si>
    <t>Dual Deck</t>
  </si>
  <si>
    <t>Norm. $/GB</t>
  </si>
  <si>
    <t># of Deck</t>
  </si>
  <si>
    <t>BW [MB/s]</t>
  </si>
  <si>
    <t>2kx4k 4D optmz'd</t>
  </si>
  <si>
    <t>4kx2k 2D optmz'd</t>
  </si>
  <si>
    <t>4kx2k 2D optmz'd Die chop</t>
  </si>
  <si>
    <t>75% additional shrink scope assumed</t>
  </si>
  <si>
    <t>Partition [GB]</t>
  </si>
  <si>
    <t>S15</t>
  </si>
  <si>
    <t>S26</t>
  </si>
  <si>
    <t>ATF</t>
  </si>
  <si>
    <t>BWF 64GB LRP</t>
  </si>
  <si>
    <t>BWF 32GB die chop</t>
  </si>
  <si>
    <t>BWF 32GB deck chop</t>
  </si>
  <si>
    <t>2Kx4KX2D</t>
  </si>
  <si>
    <t>ATF32</t>
  </si>
  <si>
    <t>Array 
C x R x D</t>
  </si>
  <si>
    <t>ATF32 is normalized Reference</t>
  </si>
  <si>
    <t>Norm. $/BW</t>
  </si>
  <si>
    <t>Norm. $/die</t>
  </si>
  <si>
    <t>Capacity [GB]</t>
  </si>
  <si>
    <t>CMOS/Array @ 79% DR</t>
  </si>
  <si>
    <r>
      <t>Die Size [mm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</si>
  <si>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r>
      <t>Density [Gb/mm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</si>
  <si>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BW Density [MB/s/GB]</t>
  </si>
  <si>
    <t>Norm. Tile Footprint</t>
  </si>
  <si>
    <t>4kx2k 4D optmz'd</t>
  </si>
  <si>
    <t>2kx4k performance Die Chop</t>
  </si>
  <si>
    <t>Option 1</t>
  </si>
  <si>
    <t>Option 2</t>
  </si>
  <si>
    <t>Option 3</t>
  </si>
  <si>
    <t>Option 4</t>
  </si>
  <si>
    <t>Starting</t>
  </si>
  <si>
    <t>mux reduction</t>
  </si>
  <si>
    <t>Interloct</t>
  </si>
  <si>
    <t>design rule</t>
  </si>
  <si>
    <t xml:space="preserve">No desel </t>
  </si>
  <si>
    <t>Interlock</t>
  </si>
  <si>
    <t>37% Tile logic</t>
  </si>
  <si>
    <t xml:space="preserve"> 25% Tile logic</t>
  </si>
  <si>
    <t>50% tile logic</t>
  </si>
  <si>
    <t>Reset Current</t>
  </si>
  <si>
    <t>Intelock</t>
  </si>
  <si>
    <t>Architecture
Row X Col X Deck</t>
  </si>
  <si>
    <t>Capacity
[Gb]</t>
  </si>
  <si>
    <t># of
Partition</t>
  </si>
  <si>
    <r>
      <t>Die Size
[mm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</si>
  <si>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BW
[MB/s]</t>
  </si>
  <si>
    <r>
      <t>Density
[Gb/mm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</si>
  <si>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BW Density
[MB/s/GB]</t>
  </si>
  <si>
    <t>BWF 32GB die/deck chop</t>
  </si>
  <si>
    <t>2kx4k 4D optmz'd deck chop</t>
  </si>
  <si>
    <t>Norm.
$/GB</t>
  </si>
  <si>
    <t>Norm.
$/die</t>
  </si>
  <si>
    <t>Norm.
$/BW</t>
  </si>
  <si>
    <t>mux reduction due to shorter array</t>
  </si>
  <si>
    <t>50% tile logic reduction</t>
  </si>
  <si>
    <t>Sandeep's #</t>
  </si>
  <si>
    <t xml:space="preserve">Starting Point </t>
  </si>
  <si>
    <t>Option 3 of 2kX4Kx4D</t>
  </si>
  <si>
    <t>Scaling
required to
meet CUA
goal</t>
  </si>
  <si>
    <t>% reduction
contribution</t>
  </si>
  <si>
    <t>Read
[pJ/b]</t>
  </si>
  <si>
    <t>Write
[pJ/b]</t>
  </si>
  <si>
    <t>Pitch
[nm]</t>
  </si>
  <si>
    <t>Power
[W]</t>
  </si>
  <si>
    <t># of
Deck</t>
  </si>
  <si>
    <t>ATF32-A</t>
  </si>
  <si>
    <t>ATF32-B</t>
  </si>
  <si>
    <t>SSM41-32GB Commit</t>
  </si>
  <si>
    <t>SSM41-32GB Drive-to</t>
  </si>
  <si>
    <t>SSM41-Die Chop Drive-to</t>
  </si>
  <si>
    <t>SSM41-Die Chop Commit</t>
  </si>
  <si>
    <t>BiSM ATF-32GB Commit</t>
  </si>
  <si>
    <t>BiSM ATF-32GB  Drive-to</t>
  </si>
  <si>
    <t>BiSM 28nm 64GB Commit</t>
  </si>
  <si>
    <t>BiSM 28nm Chop  Commit</t>
  </si>
  <si>
    <t>BiSM 28nm 64GB Drive-to</t>
  </si>
  <si>
    <t>BiSM 28nm Chop  Drive-to</t>
  </si>
  <si>
    <t>BiSM 26.5nm 64GB Commit</t>
  </si>
  <si>
    <t>BiSM 26.5nm Chop  Commit</t>
  </si>
  <si>
    <t>BiSM 26.5nm 64GB Drive-to</t>
  </si>
  <si>
    <t>BiSM 26.5nm Chop  Drive-to</t>
  </si>
  <si>
    <t>raw. BW [MB/s]</t>
  </si>
  <si>
    <t>raw Write Power
[W]</t>
  </si>
  <si>
    <t>MW2MW
[nsec]</t>
  </si>
  <si>
    <t>BW
Density [MB/s/GB]</t>
  </si>
  <si>
    <t>BxF64</t>
  </si>
  <si>
    <t>BiSM64</t>
  </si>
  <si>
    <t>BW Limiter</t>
  </si>
  <si>
    <t>Power</t>
  </si>
  <si>
    <r>
      <rPr>
        <sz val="12"/>
        <color theme="1"/>
        <rFont val="Symbol"/>
        <charset val="2"/>
      </rPr>
      <t>t</t>
    </r>
    <r>
      <rPr>
        <vertAlign val="subscript"/>
        <sz val="12"/>
        <color theme="1"/>
        <rFont val="Calibri (Body)"/>
      </rPr>
      <t>cycle</t>
    </r>
  </si>
  <si>
    <r>
      <t>t</t>
    </r>
    <r>
      <rPr>
        <vertAlign val="subscript"/>
        <sz val="12"/>
        <color rgb="FF000000"/>
        <rFont val="Calibri (Body)"/>
      </rPr>
      <t>cycle</t>
    </r>
  </si>
  <si>
    <t>Read
[ns]</t>
  </si>
  <si>
    <t>1R1W
[ns]</t>
  </si>
  <si>
    <t>1R1W
[pJ/b]</t>
  </si>
  <si>
    <t>raw. BW
[MB/s]</t>
  </si>
  <si>
    <t>raw Power
[W]</t>
  </si>
  <si>
    <t># of read</t>
  </si>
  <si>
    <t>2R1W</t>
  </si>
  <si>
    <t>MW
[MB/s]</t>
  </si>
  <si>
    <t>1R1W
[MB/s]</t>
  </si>
  <si>
    <t>Read
[MW/s]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</si>
</sst>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8" formatCode="0.0000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Symbol"/>
      <charset val="2"/>
    </font>
    <font>
      <vertAlign val="subscript"/>
      <sz val="12"/>
      <color theme="1"/>
      <name val="Calibri (Body)"/>
    </font>
    <font>
      <sz val="12"/>
      <color theme="1"/>
      <name val="Calibri"/>
      <family val="2"/>
      <charset val="2"/>
    </font>
    <font>
      <sz val="12"/>
      <color rgb="FF000000"/>
      <name val="Symbol"/>
      <charset val="2"/>
    </font>
    <font>
      <vertAlign val="subscript"/>
      <sz val="12"/>
      <color rgb="FF000000"/>
      <name val="Calibri (Body)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9" fontId="0" fillId="3" borderId="1" xfId="1" applyFont="1" applyFill="1" applyBorder="1" applyAlignment="1">
      <alignment horizontal="center" wrapText="1"/>
    </xf>
    <xf numFmtId="16" fontId="0" fillId="3" borderId="1" xfId="0" applyNumberFormat="1" applyFill="1" applyBorder="1" applyAlignment="1">
      <alignment horizontal="center"/>
    </xf>
    <xf numFmtId="9" fontId="0" fillId="3" borderId="1" xfId="1" applyNumberFormat="1" applyFont="1" applyFill="1" applyBorder="1"/>
    <xf numFmtId="0" fontId="0" fillId="0" borderId="1" xfId="0" applyBorder="1" applyAlignment="1">
      <alignment horizontal="center"/>
    </xf>
    <xf numFmtId="9" fontId="0" fillId="0" borderId="1" xfId="1" applyFont="1" applyBorder="1"/>
    <xf numFmtId="16" fontId="0" fillId="0" borderId="1" xfId="0" applyNumberFormat="1" applyBorder="1" applyAlignment="1">
      <alignment horizontal="center"/>
    </xf>
    <xf numFmtId="9" fontId="0" fillId="0" borderId="1" xfId="0" applyNumberFormat="1" applyBorder="1"/>
    <xf numFmtId="2" fontId="0" fillId="2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8" xfId="1" applyFont="1" applyBorder="1"/>
    <xf numFmtId="9" fontId="0" fillId="0" borderId="8" xfId="0" applyNumberFormat="1" applyBorder="1"/>
    <xf numFmtId="2" fontId="0" fillId="2" borderId="8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9" fontId="0" fillId="3" borderId="8" xfId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9" fontId="0" fillId="3" borderId="9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9" fontId="0" fillId="3" borderId="0" xfId="1" applyFont="1" applyFill="1" applyBorder="1" applyAlignment="1">
      <alignment horizontal="center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9" fontId="0" fillId="3" borderId="10" xfId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9" fontId="0" fillId="4" borderId="1" xfId="1" applyFont="1" applyFill="1" applyBorder="1" applyAlignment="1">
      <alignment horizontal="center" wrapText="1"/>
    </xf>
    <xf numFmtId="9" fontId="0" fillId="4" borderId="1" xfId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3" borderId="8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right"/>
    </xf>
    <xf numFmtId="9" fontId="0" fillId="2" borderId="0" xfId="0" applyNumberFormat="1" applyFill="1"/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1" applyNumberFormat="1" applyFont="1"/>
    <xf numFmtId="9" fontId="0" fillId="0" borderId="0" xfId="1" applyNumberFormat="1" applyFont="1"/>
    <xf numFmtId="1" fontId="0" fillId="0" borderId="0" xfId="0" applyNumberFormat="1"/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9" fontId="0" fillId="3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9" fontId="0" fillId="3" borderId="10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 vertical="center"/>
    </xf>
    <xf numFmtId="9" fontId="0" fillId="3" borderId="1" xfId="1" applyNumberFormat="1" applyFont="1" applyFill="1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9" fontId="0" fillId="3" borderId="14" xfId="0" applyNumberFormat="1" applyFill="1" applyBorder="1" applyAlignment="1">
      <alignment horizontal="center" vertical="center"/>
    </xf>
    <xf numFmtId="9" fontId="0" fillId="3" borderId="14" xfId="1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3" borderId="0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5" xfId="0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EF9-7662-E54C-BBD6-162AFCD86161}">
  <dimension ref="A1:V23"/>
  <sheetViews>
    <sheetView zoomScale="140" zoomScaleNormal="140" workbookViewId="0">
      <selection activeCell="T15" sqref="T10:T15"/>
    </sheetView>
  </sheetViews>
  <sheetFormatPr baseColWidth="10" defaultRowHeight="16"/>
  <cols>
    <col min="1" max="1" width="24" bestFit="1" customWidth="1"/>
    <col min="2" max="2" width="9.33203125" style="1" bestFit="1" customWidth="1"/>
    <col min="3" max="3" width="6.5" style="1" hidden="1" customWidth="1"/>
    <col min="4" max="4" width="4.6640625" hidden="1" customWidth="1"/>
    <col min="5" max="5" width="6.5" style="1" hidden="1" customWidth="1"/>
    <col min="6" max="6" width="4.6640625" hidden="1" customWidth="1"/>
    <col min="7" max="7" width="3.83203125" style="1" hidden="1" customWidth="1"/>
    <col min="8" max="8" width="4.6640625" hidden="1" customWidth="1"/>
    <col min="9" max="9" width="11.6640625" style="1" bestFit="1" customWidth="1"/>
    <col min="10" max="10" width="6.33203125" style="1" customWidth="1"/>
    <col min="11" max="11" width="12.5" style="1" hidden="1" customWidth="1"/>
    <col min="12" max="12" width="8.33203125" style="1" bestFit="1" customWidth="1"/>
    <col min="13" max="13" width="11.1640625" style="1" hidden="1" customWidth="1"/>
    <col min="14" max="14" width="8.33203125" style="1" bestFit="1" customWidth="1"/>
    <col min="15" max="15" width="7.83203125" style="1" bestFit="1" customWidth="1"/>
    <col min="16" max="16" width="9" style="1" customWidth="1"/>
    <col min="17" max="17" width="10.83203125" style="1" customWidth="1"/>
    <col min="18" max="18" width="7.83203125" style="1" customWidth="1"/>
    <col min="19" max="19" width="11.5" style="1" customWidth="1"/>
    <col min="20" max="20" width="9" style="1" customWidth="1"/>
    <col min="21" max="21" width="8.6640625" style="1" customWidth="1"/>
    <col min="22" max="22" width="7.33203125" style="1" bestFit="1" customWidth="1"/>
  </cols>
  <sheetData>
    <row r="1" spans="1:22">
      <c r="A1" s="35"/>
      <c r="B1" s="36"/>
      <c r="C1" s="36"/>
      <c r="D1" s="35"/>
      <c r="E1" s="36"/>
      <c r="F1" s="35"/>
      <c r="G1" s="36"/>
      <c r="H1" s="3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 t="s">
        <v>18</v>
      </c>
      <c r="U1" s="37">
        <f>1/3</f>
        <v>0.33333333333333331</v>
      </c>
      <c r="V1" s="36"/>
    </row>
    <row r="2" spans="1:22" ht="17" thickBot="1">
      <c r="A2" s="38"/>
      <c r="B2" s="39"/>
      <c r="C2" s="39"/>
      <c r="D2" s="38"/>
      <c r="E2" s="39"/>
      <c r="F2" s="38"/>
      <c r="G2" s="39"/>
      <c r="H2" s="38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 t="s">
        <v>19</v>
      </c>
      <c r="U2" s="40">
        <f>(1-U1)/2</f>
        <v>0.33333333333333337</v>
      </c>
      <c r="V2" s="39"/>
    </row>
    <row r="3" spans="1:22" ht="37">
      <c r="A3" s="18"/>
      <c r="B3" s="19" t="s">
        <v>36</v>
      </c>
      <c r="C3" s="129" t="s">
        <v>1</v>
      </c>
      <c r="D3" s="130"/>
      <c r="E3" s="129" t="s">
        <v>2</v>
      </c>
      <c r="F3" s="130"/>
      <c r="G3" s="129" t="s">
        <v>3</v>
      </c>
      <c r="H3" s="130"/>
      <c r="I3" s="19" t="s">
        <v>41</v>
      </c>
      <c r="J3" s="19" t="s">
        <v>21</v>
      </c>
      <c r="K3" s="19" t="s">
        <v>14</v>
      </c>
      <c r="L3" s="19" t="s">
        <v>27</v>
      </c>
      <c r="M3" s="19" t="s">
        <v>45</v>
      </c>
      <c r="N3" s="19" t="s">
        <v>16</v>
      </c>
      <c r="O3" s="19" t="s">
        <v>40</v>
      </c>
      <c r="P3" s="19" t="s">
        <v>42</v>
      </c>
      <c r="Q3" s="19" t="s">
        <v>43</v>
      </c>
      <c r="R3" s="19" t="s">
        <v>22</v>
      </c>
      <c r="S3" s="19" t="s">
        <v>44</v>
      </c>
      <c r="T3" s="19" t="s">
        <v>20</v>
      </c>
      <c r="U3" s="19" t="s">
        <v>39</v>
      </c>
      <c r="V3" s="20" t="s">
        <v>38</v>
      </c>
    </row>
    <row r="4" spans="1:22">
      <c r="A4" s="21" t="s">
        <v>28</v>
      </c>
      <c r="B4" s="4" t="s">
        <v>34</v>
      </c>
      <c r="C4" s="4"/>
      <c r="D4" s="4"/>
      <c r="E4" s="4"/>
      <c r="F4" s="4"/>
      <c r="G4" s="4"/>
      <c r="H4" s="4"/>
      <c r="I4" s="6"/>
      <c r="J4" s="6"/>
      <c r="K4" s="6"/>
      <c r="L4" s="6">
        <v>1</v>
      </c>
      <c r="M4" s="6"/>
      <c r="N4" s="6">
        <v>16</v>
      </c>
      <c r="O4" s="6">
        <v>16</v>
      </c>
      <c r="P4" s="6">
        <v>208</v>
      </c>
      <c r="Q4" s="7">
        <f t="shared" ref="Q4:Q14" si="0">O4/P4*8</f>
        <v>0.61538461538461542</v>
      </c>
      <c r="R4" s="8">
        <f>S4*O4</f>
        <v>550.53763440860212</v>
      </c>
      <c r="S4" s="8">
        <f>16/0.465/L4</f>
        <v>34.408602150537632</v>
      </c>
      <c r="T4" s="6"/>
      <c r="U4" s="6"/>
      <c r="V4" s="22"/>
    </row>
    <row r="5" spans="1:22">
      <c r="A5" s="21" t="s">
        <v>29</v>
      </c>
      <c r="B5" s="4" t="s">
        <v>4</v>
      </c>
      <c r="C5" s="4"/>
      <c r="D5" s="4"/>
      <c r="E5" s="4"/>
      <c r="F5" s="4"/>
      <c r="G5" s="4"/>
      <c r="H5" s="4"/>
      <c r="I5" s="6"/>
      <c r="J5" s="6"/>
      <c r="K5" s="6"/>
      <c r="L5" s="6">
        <v>1</v>
      </c>
      <c r="M5" s="6"/>
      <c r="N5" s="6">
        <v>32</v>
      </c>
      <c r="O5" s="6">
        <v>32</v>
      </c>
      <c r="P5" s="6">
        <v>199</v>
      </c>
      <c r="Q5" s="7">
        <f t="shared" si="0"/>
        <v>1.2864321608040201</v>
      </c>
      <c r="R5" s="8">
        <v>800</v>
      </c>
      <c r="S5" s="8">
        <f>R5/O5</f>
        <v>25</v>
      </c>
      <c r="T5" s="9">
        <f>T6/0.75</f>
        <v>1.3333333333333333</v>
      </c>
      <c r="U5" s="5">
        <f t="shared" ref="U5:U10" si="1">T5*O5/$O$6</f>
        <v>1.3333333333333333</v>
      </c>
      <c r="V5" s="23">
        <f t="shared" ref="V5:V13" si="2">(T5/$T$6)/(S5/$S$6)</f>
        <v>2.6666666666666665</v>
      </c>
    </row>
    <row r="6" spans="1:22">
      <c r="A6" s="21" t="s">
        <v>35</v>
      </c>
      <c r="B6" s="4" t="s">
        <v>4</v>
      </c>
      <c r="C6" s="4"/>
      <c r="D6" s="4"/>
      <c r="E6" s="4"/>
      <c r="F6" s="4"/>
      <c r="G6" s="4"/>
      <c r="H6" s="4"/>
      <c r="I6" s="6"/>
      <c r="J6" s="6"/>
      <c r="K6" s="6"/>
      <c r="L6" s="6">
        <v>1</v>
      </c>
      <c r="M6" s="6"/>
      <c r="N6" s="6">
        <v>32</v>
      </c>
      <c r="O6" s="6">
        <v>32</v>
      </c>
      <c r="P6" s="6">
        <v>134</v>
      </c>
      <c r="Q6" s="7">
        <f t="shared" si="0"/>
        <v>1.9104477611940298</v>
      </c>
      <c r="R6" s="8">
        <f t="shared" ref="R6:R15" si="3">S6*O6</f>
        <v>1600</v>
      </c>
      <c r="S6" s="4">
        <f t="shared" ref="S6:S14" si="4">16/0.32/L6</f>
        <v>50</v>
      </c>
      <c r="T6" s="47">
        <f>T7/0.75</f>
        <v>1</v>
      </c>
      <c r="U6" s="48">
        <f t="shared" si="1"/>
        <v>1</v>
      </c>
      <c r="V6" s="49">
        <f t="shared" si="2"/>
        <v>1</v>
      </c>
    </row>
    <row r="7" spans="1:22">
      <c r="A7" s="21" t="s">
        <v>31</v>
      </c>
      <c r="B7" s="4" t="s">
        <v>4</v>
      </c>
      <c r="C7" s="10" t="s">
        <v>9</v>
      </c>
      <c r="D7" s="11">
        <f>1/3</f>
        <v>0.33333333333333331</v>
      </c>
      <c r="E7" s="10" t="s">
        <v>9</v>
      </c>
      <c r="F7" s="11">
        <f>1/3</f>
        <v>0.33333333333333331</v>
      </c>
      <c r="G7" s="4" t="s">
        <v>0</v>
      </c>
      <c r="H7" s="11">
        <f>1/3</f>
        <v>0.33333333333333331</v>
      </c>
      <c r="I7" s="4">
        <f>(D7+F7+H7)/1</f>
        <v>1</v>
      </c>
      <c r="J7" s="4">
        <v>4</v>
      </c>
      <c r="K7" s="5">
        <f t="shared" ref="K7:K15" si="5">1/I7</f>
        <v>1</v>
      </c>
      <c r="L7" s="4">
        <f>4*4*4*16/1024</f>
        <v>1</v>
      </c>
      <c r="M7" s="53">
        <v>1</v>
      </c>
      <c r="N7" s="4">
        <v>64</v>
      </c>
      <c r="O7" s="4">
        <f t="shared" ref="O7:O15" si="6">L7*N7</f>
        <v>64</v>
      </c>
      <c r="P7" s="4">
        <v>175</v>
      </c>
      <c r="Q7" s="7">
        <f t="shared" si="0"/>
        <v>2.9257142857142857</v>
      </c>
      <c r="R7" s="8">
        <f t="shared" si="3"/>
        <v>3200</v>
      </c>
      <c r="S7" s="4">
        <f t="shared" si="4"/>
        <v>50</v>
      </c>
      <c r="T7" s="5">
        <f>($U$1+$U$2*J7/2)*75%*$Q$7/Q7</f>
        <v>0.75</v>
      </c>
      <c r="U7" s="5">
        <f t="shared" si="1"/>
        <v>1.5</v>
      </c>
      <c r="V7" s="23">
        <f t="shared" si="2"/>
        <v>0.75</v>
      </c>
    </row>
    <row r="8" spans="1:22">
      <c r="A8" s="21" t="s">
        <v>32</v>
      </c>
      <c r="B8" s="4" t="s">
        <v>4</v>
      </c>
      <c r="C8" s="10" t="s">
        <v>9</v>
      </c>
      <c r="D8" s="11">
        <f>1/3</f>
        <v>0.33333333333333331</v>
      </c>
      <c r="E8" s="10" t="s">
        <v>9</v>
      </c>
      <c r="F8" s="11">
        <f>1/3</f>
        <v>0.33333333333333331</v>
      </c>
      <c r="G8" s="4" t="s">
        <v>0</v>
      </c>
      <c r="H8" s="11">
        <f>1/3</f>
        <v>0.33333333333333331</v>
      </c>
      <c r="I8" s="4">
        <f>(D8+F8+H8)/1</f>
        <v>1</v>
      </c>
      <c r="J8" s="4">
        <v>4</v>
      </c>
      <c r="K8" s="5">
        <f t="shared" si="5"/>
        <v>1</v>
      </c>
      <c r="L8" s="4">
        <f>4*4*4*16/1024</f>
        <v>1</v>
      </c>
      <c r="M8" s="53">
        <v>1</v>
      </c>
      <c r="N8" s="4">
        <v>32</v>
      </c>
      <c r="O8" s="4">
        <f t="shared" si="6"/>
        <v>32</v>
      </c>
      <c r="P8" s="4">
        <v>95</v>
      </c>
      <c r="Q8" s="7">
        <f t="shared" si="0"/>
        <v>2.6947368421052631</v>
      </c>
      <c r="R8" s="8">
        <f t="shared" si="3"/>
        <v>1600</v>
      </c>
      <c r="S8" s="4">
        <f t="shared" si="4"/>
        <v>50</v>
      </c>
      <c r="T8" s="5">
        <f>($U$1+$U$2*J8/2)*75%*$Q$7/Q8</f>
        <v>0.81428571428571439</v>
      </c>
      <c r="U8" s="5">
        <f t="shared" si="1"/>
        <v>0.81428571428571439</v>
      </c>
      <c r="V8" s="23">
        <f t="shared" si="2"/>
        <v>0.81428571428571439</v>
      </c>
    </row>
    <row r="9" spans="1:22">
      <c r="A9" s="21" t="s">
        <v>33</v>
      </c>
      <c r="B9" s="4" t="s">
        <v>15</v>
      </c>
      <c r="C9" s="10" t="s">
        <v>9</v>
      </c>
      <c r="D9" s="11">
        <f>1/3</f>
        <v>0.33333333333333331</v>
      </c>
      <c r="E9" s="10" t="s">
        <v>9</v>
      </c>
      <c r="F9" s="11">
        <f>1/3</f>
        <v>0.33333333333333331</v>
      </c>
      <c r="G9" s="4" t="s">
        <v>0</v>
      </c>
      <c r="H9" s="11">
        <f>1/3</f>
        <v>0.33333333333333331</v>
      </c>
      <c r="I9" s="4">
        <f>(D9+F9+H9)/1</f>
        <v>1</v>
      </c>
      <c r="J9" s="4">
        <v>2</v>
      </c>
      <c r="K9" s="5">
        <f t="shared" si="5"/>
        <v>1</v>
      </c>
      <c r="L9" s="4">
        <f>4*4*2*16/1024</f>
        <v>0.5</v>
      </c>
      <c r="M9" s="53">
        <v>1</v>
      </c>
      <c r="N9" s="4">
        <v>64</v>
      </c>
      <c r="O9" s="4">
        <f t="shared" si="6"/>
        <v>32</v>
      </c>
      <c r="P9" s="4">
        <f>P7</f>
        <v>175</v>
      </c>
      <c r="Q9" s="7">
        <f t="shared" si="0"/>
        <v>1.4628571428571429</v>
      </c>
      <c r="R9" s="8">
        <f t="shared" si="3"/>
        <v>3200</v>
      </c>
      <c r="S9" s="4">
        <f t="shared" si="4"/>
        <v>100</v>
      </c>
      <c r="T9" s="5">
        <f>($U$1+$U$2*J9/2)*75%*$Q$7/Q9</f>
        <v>1</v>
      </c>
      <c r="U9" s="5">
        <f t="shared" si="1"/>
        <v>1</v>
      </c>
      <c r="V9" s="23">
        <f t="shared" si="2"/>
        <v>0.5</v>
      </c>
    </row>
    <row r="10" spans="1:22">
      <c r="A10" s="24" t="s">
        <v>23</v>
      </c>
      <c r="B10" s="4" t="s">
        <v>5</v>
      </c>
      <c r="C10" s="12" t="s">
        <v>10</v>
      </c>
      <c r="D10" s="13">
        <f>D7/2</f>
        <v>0.16666666666666666</v>
      </c>
      <c r="E10" s="14" t="s">
        <v>9</v>
      </c>
      <c r="F10" s="15">
        <f>F7</f>
        <v>0.33333333333333331</v>
      </c>
      <c r="G10" s="12" t="s">
        <v>0</v>
      </c>
      <c r="H10" s="15">
        <f>H7</f>
        <v>0.33333333333333331</v>
      </c>
      <c r="I10" s="16">
        <f t="shared" ref="I10:I15" si="7">(D10+F10+H10)/0.5</f>
        <v>1.6666666666666665</v>
      </c>
      <c r="J10" s="8">
        <v>4</v>
      </c>
      <c r="K10" s="5">
        <f t="shared" si="5"/>
        <v>0.60000000000000009</v>
      </c>
      <c r="L10" s="4">
        <f>2*4*4*16/1024</f>
        <v>0.5</v>
      </c>
      <c r="M10" s="53">
        <v>0.5</v>
      </c>
      <c r="N10" s="4">
        <v>64</v>
      </c>
      <c r="O10" s="4">
        <f t="shared" si="6"/>
        <v>32</v>
      </c>
      <c r="P10" s="8">
        <f>P8*(I10*75%)*N10/N8*M10</f>
        <v>118.75</v>
      </c>
      <c r="Q10" s="7">
        <f t="shared" si="0"/>
        <v>2.1557894736842105</v>
      </c>
      <c r="R10" s="8">
        <f t="shared" si="3"/>
        <v>3200</v>
      </c>
      <c r="S10" s="4">
        <f t="shared" si="4"/>
        <v>100</v>
      </c>
      <c r="T10" s="5">
        <f>($U$1+$U$2*J10/2)*75%*$Q$7/Q10</f>
        <v>1.017857142857143</v>
      </c>
      <c r="U10" s="5">
        <f t="shared" si="1"/>
        <v>1.017857142857143</v>
      </c>
      <c r="V10" s="23">
        <f t="shared" si="2"/>
        <v>0.50892857142857151</v>
      </c>
    </row>
    <row r="11" spans="1:22" ht="16" hidden="1" customHeight="1">
      <c r="A11" s="24" t="s">
        <v>46</v>
      </c>
      <c r="B11" s="4" t="s">
        <v>8</v>
      </c>
      <c r="C11" s="14" t="s">
        <v>9</v>
      </c>
      <c r="D11" s="15">
        <f>D7</f>
        <v>0.33333333333333331</v>
      </c>
      <c r="E11" s="12" t="s">
        <v>10</v>
      </c>
      <c r="F11" s="13">
        <f>F7/2</f>
        <v>0.16666666666666666</v>
      </c>
      <c r="G11" s="12" t="s">
        <v>0</v>
      </c>
      <c r="H11" s="15">
        <f>H7</f>
        <v>0.33333333333333331</v>
      </c>
      <c r="I11" s="16">
        <f t="shared" si="7"/>
        <v>1.6666666666666665</v>
      </c>
      <c r="J11" s="8">
        <v>4</v>
      </c>
      <c r="K11" s="5">
        <f t="shared" si="5"/>
        <v>0.60000000000000009</v>
      </c>
      <c r="L11" s="4">
        <f>4*2*4*16/1024</f>
        <v>0.5</v>
      </c>
      <c r="M11" s="53">
        <v>0.5</v>
      </c>
      <c r="N11" s="4">
        <v>64</v>
      </c>
      <c r="O11" s="4">
        <f t="shared" si="6"/>
        <v>32</v>
      </c>
      <c r="P11" s="8">
        <f>P8*(I11*75%)*N11/N8*M11</f>
        <v>118.75</v>
      </c>
      <c r="Q11" s="7">
        <f t="shared" si="0"/>
        <v>2.1557894736842105</v>
      </c>
      <c r="R11" s="8">
        <f t="shared" si="3"/>
        <v>3200</v>
      </c>
      <c r="S11" s="4">
        <f t="shared" si="4"/>
        <v>100</v>
      </c>
      <c r="T11" s="5">
        <f>($U$1+$U$2*J11/2)*$Q$7/Q11</f>
        <v>1.3571428571428572</v>
      </c>
      <c r="U11" s="5">
        <f>T11*O11/$O$7</f>
        <v>0.6785714285714286</v>
      </c>
      <c r="V11" s="23">
        <f t="shared" si="2"/>
        <v>0.6785714285714286</v>
      </c>
    </row>
    <row r="12" spans="1:22" ht="16" hidden="1" customHeight="1">
      <c r="A12" s="24" t="s">
        <v>17</v>
      </c>
      <c r="B12" s="4" t="s">
        <v>6</v>
      </c>
      <c r="C12" s="17" t="s">
        <v>11</v>
      </c>
      <c r="D12" s="13">
        <f>D7/4</f>
        <v>8.3333333333333329E-2</v>
      </c>
      <c r="E12" s="12" t="s">
        <v>12</v>
      </c>
      <c r="F12" s="15">
        <f>F10</f>
        <v>0.33333333333333331</v>
      </c>
      <c r="G12" s="12" t="s">
        <v>0</v>
      </c>
      <c r="H12" s="15">
        <f>H10</f>
        <v>0.33333333333333331</v>
      </c>
      <c r="I12" s="16">
        <f t="shared" si="7"/>
        <v>1.5</v>
      </c>
      <c r="J12" s="8">
        <v>2</v>
      </c>
      <c r="K12" s="5">
        <f t="shared" si="5"/>
        <v>0.66666666666666663</v>
      </c>
      <c r="L12" s="4">
        <f>2*4*2*16/1024</f>
        <v>0.25</v>
      </c>
      <c r="M12" s="53">
        <v>0.5</v>
      </c>
      <c r="N12" s="4">
        <v>128</v>
      </c>
      <c r="O12" s="4">
        <f t="shared" si="6"/>
        <v>32</v>
      </c>
      <c r="P12" s="8">
        <f>P7*(I12*75%)*N12/N7*M12</f>
        <v>196.875</v>
      </c>
      <c r="Q12" s="7">
        <f t="shared" si="0"/>
        <v>1.3003174603174603</v>
      </c>
      <c r="R12" s="8">
        <f t="shared" si="3"/>
        <v>6400</v>
      </c>
      <c r="S12" s="4">
        <f t="shared" si="4"/>
        <v>200</v>
      </c>
      <c r="T12" s="5">
        <f>($U$1+$U$2*J12/2)*$Q$7/Q12</f>
        <v>1.5000000000000002</v>
      </c>
      <c r="U12" s="5">
        <f>T12*O12/$O$7</f>
        <v>0.75000000000000011</v>
      </c>
      <c r="V12" s="23">
        <f t="shared" si="2"/>
        <v>0.37500000000000006</v>
      </c>
    </row>
    <row r="13" spans="1:22" ht="16" hidden="1" customHeight="1">
      <c r="A13" s="24" t="s">
        <v>47</v>
      </c>
      <c r="B13" s="4" t="s">
        <v>6</v>
      </c>
      <c r="C13" s="17" t="s">
        <v>11</v>
      </c>
      <c r="D13" s="13">
        <f>D9/4</f>
        <v>8.3333333333333329E-2</v>
      </c>
      <c r="E13" s="12" t="s">
        <v>12</v>
      </c>
      <c r="F13" s="15">
        <f>F12</f>
        <v>0.33333333333333331</v>
      </c>
      <c r="G13" s="12" t="s">
        <v>0</v>
      </c>
      <c r="H13" s="15">
        <f>H12</f>
        <v>0.33333333333333331</v>
      </c>
      <c r="I13" s="16">
        <f t="shared" si="7"/>
        <v>1.5</v>
      </c>
      <c r="J13" s="8">
        <v>2</v>
      </c>
      <c r="K13" s="5">
        <f t="shared" si="5"/>
        <v>0.66666666666666663</v>
      </c>
      <c r="L13" s="4">
        <f>2*4*2*16/1024</f>
        <v>0.25</v>
      </c>
      <c r="M13" s="53">
        <v>0.5</v>
      </c>
      <c r="N13" s="4">
        <v>64</v>
      </c>
      <c r="O13" s="4">
        <f t="shared" si="6"/>
        <v>16</v>
      </c>
      <c r="P13" s="8">
        <f>P8*(I13*75%)*N13/N8*M13</f>
        <v>106.875</v>
      </c>
      <c r="Q13" s="7">
        <f t="shared" si="0"/>
        <v>1.1976608187134503</v>
      </c>
      <c r="R13" s="8">
        <f t="shared" si="3"/>
        <v>3200</v>
      </c>
      <c r="S13" s="4">
        <f t="shared" si="4"/>
        <v>200</v>
      </c>
      <c r="T13" s="5">
        <f>($U$1+$U$2*J13/2)*$Q$7/Q13</f>
        <v>1.6285714285714288</v>
      </c>
      <c r="U13" s="5">
        <f>T13*O13/$O$7</f>
        <v>0.4071428571428572</v>
      </c>
      <c r="V13" s="23">
        <f t="shared" si="2"/>
        <v>0.4071428571428572</v>
      </c>
    </row>
    <row r="14" spans="1:22">
      <c r="A14" s="24" t="s">
        <v>24</v>
      </c>
      <c r="B14" s="4" t="s">
        <v>7</v>
      </c>
      <c r="C14" s="12" t="s">
        <v>10</v>
      </c>
      <c r="D14" s="13">
        <f>D9/2</f>
        <v>0.16666666666666666</v>
      </c>
      <c r="E14" s="12" t="s">
        <v>13</v>
      </c>
      <c r="F14" s="13">
        <f>F9/2</f>
        <v>0.16666666666666666</v>
      </c>
      <c r="G14" s="12" t="s">
        <v>0</v>
      </c>
      <c r="H14" s="15">
        <f>H15</f>
        <v>0.33333333333333331</v>
      </c>
      <c r="I14" s="16">
        <f t="shared" si="7"/>
        <v>1.3333333333333333</v>
      </c>
      <c r="J14" s="8">
        <v>2</v>
      </c>
      <c r="K14" s="5">
        <f t="shared" si="5"/>
        <v>0.75</v>
      </c>
      <c r="L14" s="4">
        <f>4*2*2*16/1024</f>
        <v>0.25</v>
      </c>
      <c r="M14" s="53">
        <v>0.5</v>
      </c>
      <c r="N14" s="4">
        <v>128</v>
      </c>
      <c r="O14" s="4">
        <f t="shared" si="6"/>
        <v>32</v>
      </c>
      <c r="P14" s="8">
        <f>P7*(I14*75%)*N14/N7*M14</f>
        <v>175</v>
      </c>
      <c r="Q14" s="7">
        <f t="shared" si="0"/>
        <v>1.4628571428571429</v>
      </c>
      <c r="R14" s="8">
        <f t="shared" si="3"/>
        <v>6400</v>
      </c>
      <c r="S14" s="4">
        <f t="shared" si="4"/>
        <v>200</v>
      </c>
      <c r="T14" s="5">
        <f>($U$1+$U$2*J14/2)*75%*$Q$7/Q14</f>
        <v>1</v>
      </c>
      <c r="U14" s="5">
        <f>T14*O14/$O$6</f>
        <v>1</v>
      </c>
      <c r="V14" s="23">
        <f>(T14/$T$6)/(S14/$S$6)</f>
        <v>0.25</v>
      </c>
    </row>
    <row r="15" spans="1:22" ht="17" thickBot="1">
      <c r="A15" s="25" t="s">
        <v>25</v>
      </c>
      <c r="B15" s="26" t="s">
        <v>7</v>
      </c>
      <c r="C15" s="27" t="s">
        <v>10</v>
      </c>
      <c r="D15" s="28">
        <f>D7/2</f>
        <v>0.16666666666666666</v>
      </c>
      <c r="E15" s="27" t="s">
        <v>13</v>
      </c>
      <c r="F15" s="28">
        <f>F7/2</f>
        <v>0.16666666666666666</v>
      </c>
      <c r="G15" s="27" t="s">
        <v>0</v>
      </c>
      <c r="H15" s="29">
        <f>H11</f>
        <v>0.33333333333333331</v>
      </c>
      <c r="I15" s="30">
        <f t="shared" si="7"/>
        <v>1.3333333333333333</v>
      </c>
      <c r="J15" s="31">
        <v>2</v>
      </c>
      <c r="K15" s="32">
        <f t="shared" si="5"/>
        <v>0.75</v>
      </c>
      <c r="L15" s="26">
        <f>4*2*2*16/1024</f>
        <v>0.25</v>
      </c>
      <c r="M15" s="54">
        <v>0.5</v>
      </c>
      <c r="N15" s="26">
        <v>64</v>
      </c>
      <c r="O15" s="26">
        <f t="shared" si="6"/>
        <v>16</v>
      </c>
      <c r="P15" s="31">
        <f>P8*(I15*75%)*N15/N8*M15</f>
        <v>95</v>
      </c>
      <c r="Q15" s="33">
        <f>O15/P15*8</f>
        <v>1.3473684210526315</v>
      </c>
      <c r="R15" s="31">
        <f t="shared" si="3"/>
        <v>3200</v>
      </c>
      <c r="S15" s="26">
        <f>16/0.32/L15</f>
        <v>200</v>
      </c>
      <c r="T15" s="32">
        <f>($U$1+$U$2*J15/2)*75%*$Q$7/Q15</f>
        <v>1.0857142857142856</v>
      </c>
      <c r="U15" s="32">
        <f>T15*O15/$O$6</f>
        <v>0.54285714285714282</v>
      </c>
      <c r="V15" s="34">
        <f>(T15/$T$6)/(S15/$S$6)</f>
        <v>0.27142857142857141</v>
      </c>
    </row>
    <row r="16" spans="1:22">
      <c r="A16" s="45"/>
      <c r="B16" s="46"/>
      <c r="C16" s="46"/>
      <c r="D16" s="45"/>
      <c r="E16" s="46"/>
      <c r="F16" s="45"/>
      <c r="G16" s="46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>
      <c r="A17" s="41" t="s">
        <v>26</v>
      </c>
      <c r="B17" s="42"/>
      <c r="C17" s="43"/>
      <c r="D17" s="44"/>
      <c r="E17" s="43"/>
      <c r="F17" s="44"/>
      <c r="G17" s="43"/>
      <c r="H17" s="44"/>
      <c r="I17" s="50"/>
      <c r="J17" s="51" t="s">
        <v>37</v>
      </c>
      <c r="K17" s="52"/>
      <c r="L17" s="52"/>
      <c r="M17" s="52"/>
      <c r="N17" s="52"/>
      <c r="O17" s="52"/>
      <c r="P17" s="36"/>
      <c r="Q17" s="36"/>
      <c r="R17" s="36"/>
      <c r="S17" s="36"/>
      <c r="T17" s="36"/>
      <c r="U17" s="36"/>
      <c r="V17" s="36"/>
    </row>
    <row r="21" spans="1:22">
      <c r="I21" s="1">
        <f>2*4*2*4*128/1024/8</f>
        <v>1</v>
      </c>
      <c r="R21" s="1" t="s">
        <v>28</v>
      </c>
      <c r="S21" s="3">
        <f>16/0.465/1</f>
        <v>34.408602150537632</v>
      </c>
    </row>
    <row r="22" spans="1:22">
      <c r="I22" s="1">
        <f>4*4*4*128/8/1024</f>
        <v>1</v>
      </c>
      <c r="R22" s="1" t="s">
        <v>29</v>
      </c>
      <c r="S22" s="1">
        <f>800/32</f>
        <v>25</v>
      </c>
      <c r="T22" s="2">
        <f>T23/0.75</f>
        <v>1.3333333333333333</v>
      </c>
      <c r="U22" s="2">
        <f>T22/2</f>
        <v>0.66666666666666663</v>
      </c>
    </row>
    <row r="23" spans="1:22">
      <c r="R23" s="1" t="s">
        <v>30</v>
      </c>
      <c r="S23" s="1">
        <f>16/0.32/1</f>
        <v>50</v>
      </c>
      <c r="T23" s="2">
        <f>T7/0.75</f>
        <v>1</v>
      </c>
      <c r="U23" s="2">
        <f>T23/2</f>
        <v>0.5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5D75-C4A7-DE42-B967-6715D8D06DA2}">
  <dimension ref="A1:V30"/>
  <sheetViews>
    <sheetView zoomScale="140" zoomScaleNormal="140" workbookViewId="0">
      <selection sqref="A1:XFD1048576"/>
    </sheetView>
  </sheetViews>
  <sheetFormatPr baseColWidth="10" defaultRowHeight="16"/>
  <cols>
    <col min="1" max="1" width="26.1640625" customWidth="1"/>
    <col min="2" max="2" width="9.5" style="1" bestFit="1" customWidth="1"/>
    <col min="3" max="3" width="6.5" style="1" bestFit="1" customWidth="1"/>
    <col min="4" max="4" width="4.6640625" bestFit="1" customWidth="1"/>
    <col min="5" max="5" width="6.5" style="1" bestFit="1" customWidth="1"/>
    <col min="6" max="6" width="4.6640625" bestFit="1" customWidth="1"/>
    <col min="7" max="7" width="3.83203125" style="1" bestFit="1" customWidth="1"/>
    <col min="8" max="8" width="4.6640625" bestFit="1" customWidth="1"/>
    <col min="9" max="9" width="11.6640625" style="1" bestFit="1" customWidth="1"/>
    <col min="10" max="10" width="8.1640625" style="1" customWidth="1"/>
    <col min="11" max="11" width="7" style="1" bestFit="1" customWidth="1"/>
    <col min="12" max="12" width="8.33203125" style="1" bestFit="1" customWidth="1"/>
    <col min="13" max="13" width="11.1640625" style="1" customWidth="1"/>
    <col min="14" max="14" width="8.33203125" style="1" bestFit="1" customWidth="1"/>
    <col min="15" max="15" width="7.83203125" style="1" bestFit="1" customWidth="1"/>
    <col min="16" max="16" width="9" style="1" customWidth="1"/>
    <col min="17" max="17" width="10.83203125" style="1" customWidth="1"/>
    <col min="18" max="18" width="7.83203125" style="1" customWidth="1"/>
    <col min="19" max="19" width="11.5" style="1" customWidth="1"/>
    <col min="20" max="20" width="9" style="1" customWidth="1"/>
    <col min="21" max="21" width="8.6640625" style="1" customWidth="1"/>
    <col min="22" max="22" width="7.33203125" style="1" bestFit="1" customWidth="1"/>
  </cols>
  <sheetData>
    <row r="1" spans="1:22">
      <c r="A1" s="35"/>
      <c r="B1" s="36"/>
      <c r="C1" s="36"/>
      <c r="D1" s="35"/>
      <c r="E1" s="36"/>
      <c r="F1" s="35"/>
      <c r="G1" s="36"/>
      <c r="H1" s="3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 t="s">
        <v>18</v>
      </c>
      <c r="U1" s="37">
        <f>1/3</f>
        <v>0.33333333333333331</v>
      </c>
      <c r="V1" s="36"/>
    </row>
    <row r="2" spans="1:22" ht="17" thickBot="1">
      <c r="A2" s="38"/>
      <c r="B2" s="39"/>
      <c r="C2" s="39"/>
      <c r="D2" s="38"/>
      <c r="E2" s="39"/>
      <c r="F2" s="38"/>
      <c r="G2" s="39"/>
      <c r="H2" s="38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 t="s">
        <v>19</v>
      </c>
      <c r="U2" s="40">
        <f>(1-U1)/2</f>
        <v>0.33333333333333337</v>
      </c>
      <c r="V2" s="39"/>
    </row>
    <row r="3" spans="1:22" ht="37">
      <c r="A3" s="18"/>
      <c r="B3" s="19" t="s">
        <v>36</v>
      </c>
      <c r="C3" s="131" t="s">
        <v>1</v>
      </c>
      <c r="D3" s="131"/>
      <c r="E3" s="131" t="s">
        <v>2</v>
      </c>
      <c r="F3" s="131"/>
      <c r="G3" s="131" t="s">
        <v>3</v>
      </c>
      <c r="H3" s="131"/>
      <c r="I3" s="19" t="s">
        <v>41</v>
      </c>
      <c r="J3" s="19" t="s">
        <v>21</v>
      </c>
      <c r="K3" s="19" t="s">
        <v>14</v>
      </c>
      <c r="L3" s="19" t="s">
        <v>27</v>
      </c>
      <c r="M3" s="19" t="s">
        <v>45</v>
      </c>
      <c r="N3" s="19" t="s">
        <v>16</v>
      </c>
      <c r="O3" s="19" t="s">
        <v>40</v>
      </c>
      <c r="P3" s="19" t="s">
        <v>42</v>
      </c>
      <c r="Q3" s="19" t="s">
        <v>43</v>
      </c>
      <c r="R3" s="19" t="s">
        <v>22</v>
      </c>
      <c r="S3" s="19" t="s">
        <v>44</v>
      </c>
      <c r="T3" s="19" t="s">
        <v>20</v>
      </c>
      <c r="U3" s="19" t="s">
        <v>39</v>
      </c>
      <c r="V3" s="20" t="s">
        <v>38</v>
      </c>
    </row>
    <row r="4" spans="1:22">
      <c r="A4" s="21" t="s">
        <v>28</v>
      </c>
      <c r="B4" s="4" t="s">
        <v>34</v>
      </c>
      <c r="C4" s="4"/>
      <c r="D4" s="4"/>
      <c r="E4" s="4"/>
      <c r="F4" s="4"/>
      <c r="G4" s="4"/>
      <c r="H4" s="4"/>
      <c r="I4" s="6"/>
      <c r="J4" s="6"/>
      <c r="K4" s="6"/>
      <c r="L4" s="6">
        <v>1</v>
      </c>
      <c r="M4" s="6"/>
      <c r="N4" s="6">
        <v>16</v>
      </c>
      <c r="O4" s="6">
        <v>16</v>
      </c>
      <c r="P4" s="6">
        <v>208</v>
      </c>
      <c r="Q4" s="7">
        <f t="shared" ref="Q4:Q14" si="0">O4/P4*8</f>
        <v>0.61538461538461542</v>
      </c>
      <c r="R4" s="8">
        <f>S4*O4</f>
        <v>550.53763440860212</v>
      </c>
      <c r="S4" s="8">
        <f>16/0.465/L4</f>
        <v>34.408602150537632</v>
      </c>
      <c r="T4" s="6"/>
      <c r="U4" s="6"/>
      <c r="V4" s="22"/>
    </row>
    <row r="5" spans="1:22">
      <c r="A5" s="21" t="s">
        <v>29</v>
      </c>
      <c r="B5" s="4" t="s">
        <v>4</v>
      </c>
      <c r="C5" s="4"/>
      <c r="D5" s="4"/>
      <c r="E5" s="4"/>
      <c r="F5" s="4"/>
      <c r="G5" s="4"/>
      <c r="H5" s="4"/>
      <c r="I5" s="6"/>
      <c r="J5" s="6"/>
      <c r="K5" s="6"/>
      <c r="L5" s="6">
        <v>1</v>
      </c>
      <c r="M5" s="6"/>
      <c r="N5" s="6">
        <v>32</v>
      </c>
      <c r="O5" s="6">
        <v>32</v>
      </c>
      <c r="P5" s="6">
        <v>199</v>
      </c>
      <c r="Q5" s="7">
        <f t="shared" si="0"/>
        <v>1.2864321608040201</v>
      </c>
      <c r="R5" s="8">
        <v>800</v>
      </c>
      <c r="S5" s="8">
        <f>R5/O5</f>
        <v>25</v>
      </c>
      <c r="T5" s="9">
        <f>T6/0.75</f>
        <v>1.3333333333333333</v>
      </c>
      <c r="U5" s="5">
        <f t="shared" ref="U5:U10" si="1">T5*O5/$O$6</f>
        <v>1.3333333333333333</v>
      </c>
      <c r="V5" s="23">
        <f t="shared" ref="V5:V13" si="2">(T5/$T$6)/(S5/$S$6)</f>
        <v>2.6666666666666665</v>
      </c>
    </row>
    <row r="6" spans="1:22">
      <c r="A6" s="21" t="s">
        <v>35</v>
      </c>
      <c r="B6" s="4" t="s">
        <v>4</v>
      </c>
      <c r="C6" s="4"/>
      <c r="D6" s="4"/>
      <c r="E6" s="4"/>
      <c r="F6" s="4"/>
      <c r="G6" s="4"/>
      <c r="H6" s="4"/>
      <c r="I6" s="6"/>
      <c r="J6" s="6"/>
      <c r="K6" s="6"/>
      <c r="L6" s="6">
        <v>1</v>
      </c>
      <c r="M6" s="6"/>
      <c r="N6" s="6">
        <v>32</v>
      </c>
      <c r="O6" s="6">
        <v>32</v>
      </c>
      <c r="P6" s="6">
        <v>134</v>
      </c>
      <c r="Q6" s="7">
        <f t="shared" si="0"/>
        <v>1.9104477611940298</v>
      </c>
      <c r="R6" s="8">
        <f t="shared" ref="R6:R15" si="3">S6*O6</f>
        <v>1600</v>
      </c>
      <c r="S6" s="4">
        <f t="shared" ref="S6:S14" si="4">16/0.32/L6</f>
        <v>50</v>
      </c>
      <c r="T6" s="47">
        <f>T7/0.75</f>
        <v>1</v>
      </c>
      <c r="U6" s="48">
        <f t="shared" si="1"/>
        <v>1</v>
      </c>
      <c r="V6" s="49">
        <f t="shared" si="2"/>
        <v>1</v>
      </c>
    </row>
    <row r="7" spans="1:22">
      <c r="A7" s="21" t="s">
        <v>31</v>
      </c>
      <c r="B7" s="4" t="s">
        <v>4</v>
      </c>
      <c r="C7" s="10" t="s">
        <v>9</v>
      </c>
      <c r="D7" s="11">
        <f>1/3</f>
        <v>0.33333333333333331</v>
      </c>
      <c r="E7" s="10" t="s">
        <v>9</v>
      </c>
      <c r="F7" s="11">
        <f>1/3</f>
        <v>0.33333333333333331</v>
      </c>
      <c r="G7" s="4" t="s">
        <v>0</v>
      </c>
      <c r="H7" s="11">
        <f>1/3</f>
        <v>0.33333333333333331</v>
      </c>
      <c r="I7" s="4">
        <f>(D7+F7+H7)/1</f>
        <v>1</v>
      </c>
      <c r="J7" s="4">
        <v>4</v>
      </c>
      <c r="K7" s="5">
        <f t="shared" ref="K7:K15" si="5">1/I7</f>
        <v>1</v>
      </c>
      <c r="L7" s="4">
        <f>4*4*4*16/1024</f>
        <v>1</v>
      </c>
      <c r="M7" s="53">
        <v>1</v>
      </c>
      <c r="N7" s="4">
        <v>64</v>
      </c>
      <c r="O7" s="4">
        <f t="shared" ref="O7:O15" si="6">L7*N7</f>
        <v>64</v>
      </c>
      <c r="P7" s="4">
        <v>175</v>
      </c>
      <c r="Q7" s="7">
        <f t="shared" si="0"/>
        <v>2.9257142857142857</v>
      </c>
      <c r="R7" s="8">
        <f t="shared" si="3"/>
        <v>3200</v>
      </c>
      <c r="S7" s="4">
        <f t="shared" si="4"/>
        <v>50</v>
      </c>
      <c r="T7" s="5">
        <f>($U$1+$U$2*J7/2)*75%*$Q$7/Q7</f>
        <v>0.75</v>
      </c>
      <c r="U7" s="5">
        <f t="shared" si="1"/>
        <v>1.5</v>
      </c>
      <c r="V7" s="23">
        <f t="shared" si="2"/>
        <v>0.75</v>
      </c>
    </row>
    <row r="8" spans="1:22">
      <c r="A8" s="21" t="s">
        <v>32</v>
      </c>
      <c r="B8" s="4" t="s">
        <v>4</v>
      </c>
      <c r="C8" s="10" t="s">
        <v>9</v>
      </c>
      <c r="D8" s="11">
        <f>1/3</f>
        <v>0.33333333333333331</v>
      </c>
      <c r="E8" s="10" t="s">
        <v>9</v>
      </c>
      <c r="F8" s="11">
        <f>1/3</f>
        <v>0.33333333333333331</v>
      </c>
      <c r="G8" s="4" t="s">
        <v>0</v>
      </c>
      <c r="H8" s="11">
        <f>1/3</f>
        <v>0.33333333333333331</v>
      </c>
      <c r="I8" s="4">
        <f>(D8+F8+H8)/1</f>
        <v>1</v>
      </c>
      <c r="J8" s="4">
        <v>4</v>
      </c>
      <c r="K8" s="5">
        <f t="shared" si="5"/>
        <v>1</v>
      </c>
      <c r="L8" s="4">
        <f>4*4*4*16/1024</f>
        <v>1</v>
      </c>
      <c r="M8" s="53">
        <v>1</v>
      </c>
      <c r="N8" s="4">
        <v>32</v>
      </c>
      <c r="O8" s="4">
        <f t="shared" si="6"/>
        <v>32</v>
      </c>
      <c r="P8" s="4">
        <v>95</v>
      </c>
      <c r="Q8" s="7">
        <f t="shared" si="0"/>
        <v>2.6947368421052631</v>
      </c>
      <c r="R8" s="8">
        <f t="shared" si="3"/>
        <v>1600</v>
      </c>
      <c r="S8" s="4">
        <f t="shared" si="4"/>
        <v>50</v>
      </c>
      <c r="T8" s="5">
        <f>($U$1+$U$2*J8/2)*75%*$Q$7/Q8</f>
        <v>0.81428571428571439</v>
      </c>
      <c r="U8" s="5">
        <f t="shared" si="1"/>
        <v>0.81428571428571439</v>
      </c>
      <c r="V8" s="23">
        <f t="shared" si="2"/>
        <v>0.81428571428571439</v>
      </c>
    </row>
    <row r="9" spans="1:22">
      <c r="A9" s="21" t="s">
        <v>33</v>
      </c>
      <c r="B9" s="4" t="s">
        <v>15</v>
      </c>
      <c r="C9" s="10" t="s">
        <v>9</v>
      </c>
      <c r="D9" s="11">
        <f>1/3</f>
        <v>0.33333333333333331</v>
      </c>
      <c r="E9" s="10" t="s">
        <v>9</v>
      </c>
      <c r="F9" s="11">
        <f>1/3</f>
        <v>0.33333333333333331</v>
      </c>
      <c r="G9" s="4" t="s">
        <v>0</v>
      </c>
      <c r="H9" s="11">
        <f>1/3</f>
        <v>0.33333333333333331</v>
      </c>
      <c r="I9" s="4">
        <f>(D9+F9+H9)/1</f>
        <v>1</v>
      </c>
      <c r="J9" s="4">
        <v>2</v>
      </c>
      <c r="K9" s="5">
        <f t="shared" si="5"/>
        <v>1</v>
      </c>
      <c r="L9" s="4">
        <f>4*4*2*16/1024</f>
        <v>0.5</v>
      </c>
      <c r="M9" s="53">
        <v>1</v>
      </c>
      <c r="N9" s="4">
        <v>64</v>
      </c>
      <c r="O9" s="4">
        <f t="shared" si="6"/>
        <v>32</v>
      </c>
      <c r="P9" s="4">
        <f>P7</f>
        <v>175</v>
      </c>
      <c r="Q9" s="7">
        <f t="shared" si="0"/>
        <v>1.4628571428571429</v>
      </c>
      <c r="R9" s="8">
        <f t="shared" si="3"/>
        <v>3200</v>
      </c>
      <c r="S9" s="4">
        <f t="shared" si="4"/>
        <v>100</v>
      </c>
      <c r="T9" s="5">
        <f>($U$1+$U$2*J9/2)*75%*$Q$7/Q9</f>
        <v>1</v>
      </c>
      <c r="U9" s="5">
        <f t="shared" si="1"/>
        <v>1</v>
      </c>
      <c r="V9" s="23">
        <f t="shared" si="2"/>
        <v>0.5</v>
      </c>
    </row>
    <row r="10" spans="1:22">
      <c r="A10" s="24" t="s">
        <v>23</v>
      </c>
      <c r="B10" s="4" t="s">
        <v>5</v>
      </c>
      <c r="C10" s="12" t="s">
        <v>10</v>
      </c>
      <c r="D10" s="13">
        <f>D7/2</f>
        <v>0.16666666666666666</v>
      </c>
      <c r="E10" s="14" t="s">
        <v>9</v>
      </c>
      <c r="F10" s="15">
        <f>F7</f>
        <v>0.33333333333333331</v>
      </c>
      <c r="G10" s="12" t="s">
        <v>0</v>
      </c>
      <c r="H10" s="15">
        <f>H7</f>
        <v>0.33333333333333331</v>
      </c>
      <c r="I10" s="16">
        <f t="shared" ref="I10:I15" si="7">(D10+F10+H10)/0.5</f>
        <v>1.6666666666666665</v>
      </c>
      <c r="J10" s="8">
        <v>4</v>
      </c>
      <c r="K10" s="5">
        <f t="shared" si="5"/>
        <v>0.60000000000000009</v>
      </c>
      <c r="L10" s="4">
        <f>2*4*4*16/1024</f>
        <v>0.5</v>
      </c>
      <c r="M10" s="53">
        <v>0.5</v>
      </c>
      <c r="N10" s="4">
        <v>64</v>
      </c>
      <c r="O10" s="4">
        <f t="shared" si="6"/>
        <v>32</v>
      </c>
      <c r="P10" s="8">
        <f>P8*(I10*75%)*N10/N8*M10</f>
        <v>118.75</v>
      </c>
      <c r="Q10" s="7">
        <f t="shared" si="0"/>
        <v>2.1557894736842105</v>
      </c>
      <c r="R10" s="8">
        <f t="shared" si="3"/>
        <v>3200</v>
      </c>
      <c r="S10" s="4">
        <f t="shared" si="4"/>
        <v>100</v>
      </c>
      <c r="T10" s="5">
        <f>($U$1+$U$2*J10/2)*75%*$Q$7/Q10</f>
        <v>1.017857142857143</v>
      </c>
      <c r="U10" s="5">
        <f t="shared" si="1"/>
        <v>1.017857142857143</v>
      </c>
      <c r="V10" s="23">
        <f t="shared" si="2"/>
        <v>0.50892857142857151</v>
      </c>
    </row>
    <row r="11" spans="1:22">
      <c r="A11" s="24" t="s">
        <v>46</v>
      </c>
      <c r="B11" s="4" t="s">
        <v>8</v>
      </c>
      <c r="C11" s="14" t="s">
        <v>9</v>
      </c>
      <c r="D11" s="15">
        <f>D7</f>
        <v>0.33333333333333331</v>
      </c>
      <c r="E11" s="12" t="s">
        <v>10</v>
      </c>
      <c r="F11" s="13">
        <f>F7/2</f>
        <v>0.16666666666666666</v>
      </c>
      <c r="G11" s="12" t="s">
        <v>0</v>
      </c>
      <c r="H11" s="15">
        <f>H7</f>
        <v>0.33333333333333331</v>
      </c>
      <c r="I11" s="16">
        <f t="shared" si="7"/>
        <v>1.6666666666666665</v>
      </c>
      <c r="J11" s="8">
        <v>4</v>
      </c>
      <c r="K11" s="5">
        <f t="shared" si="5"/>
        <v>0.60000000000000009</v>
      </c>
      <c r="L11" s="4">
        <f>4*2*4*16/1024</f>
        <v>0.5</v>
      </c>
      <c r="M11" s="53">
        <v>0.5</v>
      </c>
      <c r="N11" s="4">
        <v>64</v>
      </c>
      <c r="O11" s="4">
        <f t="shared" si="6"/>
        <v>32</v>
      </c>
      <c r="P11" s="8">
        <f>P8*(I11*75%)*N11/N8*M11</f>
        <v>118.75</v>
      </c>
      <c r="Q11" s="7">
        <f t="shared" si="0"/>
        <v>2.1557894736842105</v>
      </c>
      <c r="R11" s="8">
        <f t="shared" si="3"/>
        <v>3200</v>
      </c>
      <c r="S11" s="4">
        <f t="shared" si="4"/>
        <v>100</v>
      </c>
      <c r="T11" s="5">
        <f>($U$1+$U$2*J11/2)*$Q$7/Q11</f>
        <v>1.3571428571428572</v>
      </c>
      <c r="U11" s="5">
        <f>T11*O11/$O$7</f>
        <v>0.6785714285714286</v>
      </c>
      <c r="V11" s="23">
        <f t="shared" si="2"/>
        <v>0.6785714285714286</v>
      </c>
    </row>
    <row r="12" spans="1:22">
      <c r="A12" s="24" t="s">
        <v>17</v>
      </c>
      <c r="B12" s="4" t="s">
        <v>6</v>
      </c>
      <c r="C12" s="17" t="s">
        <v>11</v>
      </c>
      <c r="D12" s="13">
        <f>D7/4</f>
        <v>8.3333333333333329E-2</v>
      </c>
      <c r="E12" s="12" t="s">
        <v>12</v>
      </c>
      <c r="F12" s="15">
        <f>F10</f>
        <v>0.33333333333333331</v>
      </c>
      <c r="G12" s="12" t="s">
        <v>0</v>
      </c>
      <c r="H12" s="15">
        <f>H10</f>
        <v>0.33333333333333331</v>
      </c>
      <c r="I12" s="16">
        <f t="shared" si="7"/>
        <v>1.5</v>
      </c>
      <c r="J12" s="8">
        <v>2</v>
      </c>
      <c r="K12" s="5">
        <f t="shared" si="5"/>
        <v>0.66666666666666663</v>
      </c>
      <c r="L12" s="4">
        <f>2*4*2*16/1024</f>
        <v>0.25</v>
      </c>
      <c r="M12" s="53">
        <v>0.5</v>
      </c>
      <c r="N12" s="4">
        <v>128</v>
      </c>
      <c r="O12" s="4">
        <f t="shared" si="6"/>
        <v>32</v>
      </c>
      <c r="P12" s="8">
        <f>P7*(I12*75%)*N12/N7*M12</f>
        <v>196.875</v>
      </c>
      <c r="Q12" s="7">
        <f t="shared" si="0"/>
        <v>1.3003174603174603</v>
      </c>
      <c r="R12" s="8">
        <f t="shared" si="3"/>
        <v>6400</v>
      </c>
      <c r="S12" s="4">
        <f t="shared" si="4"/>
        <v>200</v>
      </c>
      <c r="T12" s="5">
        <f>($U$1+$U$2*J12/2)*$Q$7/Q12</f>
        <v>1.5000000000000002</v>
      </c>
      <c r="U12" s="5">
        <f>T12*O12/$O$7</f>
        <v>0.75000000000000011</v>
      </c>
      <c r="V12" s="23">
        <f t="shared" si="2"/>
        <v>0.37500000000000006</v>
      </c>
    </row>
    <row r="13" spans="1:22">
      <c r="A13" s="24" t="s">
        <v>47</v>
      </c>
      <c r="B13" s="4" t="s">
        <v>6</v>
      </c>
      <c r="C13" s="17" t="s">
        <v>11</v>
      </c>
      <c r="D13" s="13">
        <f>D9/4</f>
        <v>8.3333333333333329E-2</v>
      </c>
      <c r="E13" s="12" t="s">
        <v>12</v>
      </c>
      <c r="F13" s="15">
        <f>F12</f>
        <v>0.33333333333333331</v>
      </c>
      <c r="G13" s="12" t="s">
        <v>0</v>
      </c>
      <c r="H13" s="15">
        <f>H12</f>
        <v>0.33333333333333331</v>
      </c>
      <c r="I13" s="16">
        <f t="shared" si="7"/>
        <v>1.5</v>
      </c>
      <c r="J13" s="8">
        <v>2</v>
      </c>
      <c r="K13" s="5">
        <f t="shared" si="5"/>
        <v>0.66666666666666663</v>
      </c>
      <c r="L13" s="4">
        <f>2*4*2*16/1024</f>
        <v>0.25</v>
      </c>
      <c r="M13" s="53">
        <v>0.5</v>
      </c>
      <c r="N13" s="4">
        <v>64</v>
      </c>
      <c r="O13" s="4">
        <f t="shared" si="6"/>
        <v>16</v>
      </c>
      <c r="P13" s="8">
        <f>P8*(I13*75%)*N13/N8*M13</f>
        <v>106.875</v>
      </c>
      <c r="Q13" s="7">
        <f t="shared" si="0"/>
        <v>1.1976608187134503</v>
      </c>
      <c r="R13" s="8">
        <f t="shared" si="3"/>
        <v>3200</v>
      </c>
      <c r="S13" s="4">
        <f t="shared" si="4"/>
        <v>200</v>
      </c>
      <c r="T13" s="5">
        <f>($U$1+$U$2*J13/2)*$Q$7/Q13</f>
        <v>1.6285714285714288</v>
      </c>
      <c r="U13" s="5">
        <f>T13*O13/$O$7</f>
        <v>0.4071428571428572</v>
      </c>
      <c r="V13" s="23">
        <f t="shared" si="2"/>
        <v>0.4071428571428572</v>
      </c>
    </row>
    <row r="14" spans="1:22">
      <c r="A14" s="24" t="s">
        <v>24</v>
      </c>
      <c r="B14" s="4" t="s">
        <v>7</v>
      </c>
      <c r="C14" s="12" t="s">
        <v>10</v>
      </c>
      <c r="D14" s="13">
        <f>D9/2</f>
        <v>0.16666666666666666</v>
      </c>
      <c r="E14" s="12" t="s">
        <v>13</v>
      </c>
      <c r="F14" s="13">
        <f>F9/2</f>
        <v>0.16666666666666666</v>
      </c>
      <c r="G14" s="12" t="s">
        <v>0</v>
      </c>
      <c r="H14" s="15">
        <f>H15</f>
        <v>0.33333333333333331</v>
      </c>
      <c r="I14" s="16">
        <f t="shared" si="7"/>
        <v>1.3333333333333333</v>
      </c>
      <c r="J14" s="8">
        <v>2</v>
      </c>
      <c r="K14" s="5">
        <f t="shared" si="5"/>
        <v>0.75</v>
      </c>
      <c r="L14" s="4">
        <f>4*2*2*16/1024</f>
        <v>0.25</v>
      </c>
      <c r="M14" s="53">
        <v>0.5</v>
      </c>
      <c r="N14" s="4">
        <v>128</v>
      </c>
      <c r="O14" s="4">
        <f t="shared" si="6"/>
        <v>32</v>
      </c>
      <c r="P14" s="8">
        <f>P7*(I14*75%)*N14/N7*M14</f>
        <v>175</v>
      </c>
      <c r="Q14" s="7">
        <f t="shared" si="0"/>
        <v>1.4628571428571429</v>
      </c>
      <c r="R14" s="8">
        <f t="shared" si="3"/>
        <v>6400</v>
      </c>
      <c r="S14" s="4">
        <f t="shared" si="4"/>
        <v>200</v>
      </c>
      <c r="T14" s="5">
        <f>($U$1+$U$2*J14/2)*75%*$Q$7/Q14</f>
        <v>1</v>
      </c>
      <c r="U14" s="5">
        <f>T14*O14/$O$6</f>
        <v>1</v>
      </c>
      <c r="V14" s="23">
        <f>(T14/$T$6)/(S14/$S$6)</f>
        <v>0.25</v>
      </c>
    </row>
    <row r="15" spans="1:22" ht="17" thickBot="1">
      <c r="A15" s="25" t="s">
        <v>25</v>
      </c>
      <c r="B15" s="26" t="s">
        <v>7</v>
      </c>
      <c r="C15" s="27" t="s">
        <v>10</v>
      </c>
      <c r="D15" s="28">
        <f>D7/2</f>
        <v>0.16666666666666666</v>
      </c>
      <c r="E15" s="27" t="s">
        <v>13</v>
      </c>
      <c r="F15" s="28">
        <f>F7/2</f>
        <v>0.16666666666666666</v>
      </c>
      <c r="G15" s="27" t="s">
        <v>0</v>
      </c>
      <c r="H15" s="29">
        <f>H11</f>
        <v>0.33333333333333331</v>
      </c>
      <c r="I15" s="30">
        <f t="shared" si="7"/>
        <v>1.3333333333333333</v>
      </c>
      <c r="J15" s="31">
        <v>2</v>
      </c>
      <c r="K15" s="32">
        <f t="shared" si="5"/>
        <v>0.75</v>
      </c>
      <c r="L15" s="26">
        <f>4*2*2*16/1024</f>
        <v>0.25</v>
      </c>
      <c r="M15" s="54">
        <v>0.5</v>
      </c>
      <c r="N15" s="26">
        <v>64</v>
      </c>
      <c r="O15" s="26">
        <f t="shared" si="6"/>
        <v>16</v>
      </c>
      <c r="P15" s="31">
        <f>P8*(I15*75%)*N15/N8*M15</f>
        <v>95</v>
      </c>
      <c r="Q15" s="33">
        <f>O15/P15*8</f>
        <v>1.3473684210526315</v>
      </c>
      <c r="R15" s="31">
        <f t="shared" si="3"/>
        <v>3200</v>
      </c>
      <c r="S15" s="26">
        <f>16/0.32/L15</f>
        <v>200</v>
      </c>
      <c r="T15" s="32">
        <f>($U$1+$U$2*J15/2)*75%*$Q$7/Q15</f>
        <v>1.0857142857142856</v>
      </c>
      <c r="U15" s="32">
        <f>T15*O15/$O$6</f>
        <v>0.54285714285714282</v>
      </c>
      <c r="V15" s="34">
        <f>(T15/$T$6)/(S15/$S$6)</f>
        <v>0.27142857142857141</v>
      </c>
    </row>
    <row r="16" spans="1:22">
      <c r="A16" s="45"/>
      <c r="B16" s="46"/>
      <c r="C16" s="46"/>
      <c r="D16" s="45"/>
      <c r="E16" s="46"/>
      <c r="F16" s="45"/>
      <c r="G16" s="46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>
      <c r="A17" s="41" t="s">
        <v>26</v>
      </c>
      <c r="B17" s="42"/>
      <c r="C17" s="43"/>
      <c r="D17" s="44"/>
      <c r="E17" s="43"/>
      <c r="F17" s="44"/>
      <c r="G17" s="43"/>
      <c r="H17" s="44"/>
      <c r="I17" s="50"/>
      <c r="J17" s="51" t="s">
        <v>37</v>
      </c>
      <c r="K17" s="52"/>
      <c r="L17" s="52"/>
      <c r="M17" s="52"/>
      <c r="N17" s="52"/>
      <c r="O17" s="52"/>
      <c r="P17" s="36"/>
      <c r="Q17" s="36"/>
      <c r="R17" s="36"/>
      <c r="S17" s="36"/>
      <c r="T17" s="36"/>
      <c r="U17" s="36"/>
      <c r="V17" s="36"/>
    </row>
    <row r="21" spans="1:22">
      <c r="I21" s="1">
        <f>2*4*2*4*128/1024/8</f>
        <v>1</v>
      </c>
      <c r="R21" s="1" t="s">
        <v>28</v>
      </c>
      <c r="S21" s="3">
        <f>16/0.465/1</f>
        <v>34.408602150537632</v>
      </c>
    </row>
    <row r="22" spans="1:22">
      <c r="I22" s="1">
        <f>4*4*4*128/8/1024</f>
        <v>1</v>
      </c>
      <c r="R22" s="1" t="s">
        <v>29</v>
      </c>
      <c r="S22" s="1">
        <f>800/32</f>
        <v>25</v>
      </c>
      <c r="T22" s="2">
        <f>T23/0.75</f>
        <v>1.3333333333333333</v>
      </c>
      <c r="U22" s="2">
        <f>T22/2</f>
        <v>0.66666666666666663</v>
      </c>
    </row>
    <row r="23" spans="1:22">
      <c r="R23" s="1" t="s">
        <v>30</v>
      </c>
      <c r="S23" s="1">
        <f>16/0.32/1</f>
        <v>50</v>
      </c>
      <c r="T23" s="2">
        <f>T7/0.75</f>
        <v>1</v>
      </c>
      <c r="U23" s="2">
        <f>T23/2</f>
        <v>0.5</v>
      </c>
    </row>
    <row r="27" spans="1:22">
      <c r="C27" s="1">
        <v>3</v>
      </c>
      <c r="D27">
        <v>3</v>
      </c>
      <c r="E27" s="1">
        <v>3</v>
      </c>
    </row>
    <row r="28" spans="1:22">
      <c r="C28" s="1">
        <f>1/C27</f>
        <v>0.33333333333333331</v>
      </c>
      <c r="D28" s="1">
        <f>1/D27</f>
        <v>0.33333333333333331</v>
      </c>
      <c r="E28" s="1">
        <f>1/E27</f>
        <v>0.33333333333333331</v>
      </c>
      <c r="I28">
        <f>(C28+D28+E28)/0.5</f>
        <v>2</v>
      </c>
      <c r="M28" s="2">
        <f>1/I28-1</f>
        <v>-0.5</v>
      </c>
    </row>
    <row r="29" spans="1:22">
      <c r="C29" s="1">
        <f>C28/2</f>
        <v>0.16666666666666666</v>
      </c>
      <c r="D29" s="1">
        <f>D28/2</f>
        <v>0.16666666666666666</v>
      </c>
      <c r="E29" s="1">
        <f>E28</f>
        <v>0.33333333333333331</v>
      </c>
      <c r="I29">
        <f>(C29+D29+E29)/0.5</f>
        <v>1.3333333333333333</v>
      </c>
      <c r="M29" s="2">
        <f>1/I29-1</f>
        <v>-0.25</v>
      </c>
    </row>
    <row r="30" spans="1:22">
      <c r="C30" s="1">
        <f>C29*0.75</f>
        <v>0.125</v>
      </c>
      <c r="D30" s="1">
        <f>D29</f>
        <v>0.16666666666666666</v>
      </c>
      <c r="E30" s="1">
        <f>E29</f>
        <v>0.33333333333333331</v>
      </c>
      <c r="I30">
        <f>(C30+D30+E30)/0.5</f>
        <v>1.25</v>
      </c>
      <c r="M30" s="2">
        <f>1/I30-1</f>
        <v>-0.19999999999999996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C033-A500-754D-92E9-31927AEFE819}">
  <dimension ref="A1:AX58"/>
  <sheetViews>
    <sheetView tabSelected="1" zoomScale="150" zoomScaleNormal="150" workbookViewId="0">
      <pane xSplit="1" ySplit="3" topLeftCell="AL21" activePane="bottomRight" state="frozen"/>
      <selection pane="topRight" activeCell="B1" sqref="B1"/>
      <selection pane="bottomLeft" activeCell="A4" sqref="A4"/>
      <selection pane="bottomRight" activeCell="BA40" sqref="BA40"/>
    </sheetView>
  </sheetViews>
  <sheetFormatPr baseColWidth="10" defaultRowHeight="16"/>
  <cols>
    <col min="1" max="1" width="26.1640625" style="124" customWidth="1"/>
    <col min="2" max="2" width="5.6640625" style="59" customWidth="1"/>
    <col min="3" max="3" width="9.5" style="59" hidden="1" customWidth="1"/>
    <col min="4" max="4" width="6.5" style="59" hidden="1" customWidth="1"/>
    <col min="5" max="5" width="4.6640625" style="85" hidden="1" customWidth="1"/>
    <col min="6" max="6" width="6.5" style="59" hidden="1" customWidth="1"/>
    <col min="7" max="7" width="4.6640625" style="85" hidden="1" customWidth="1"/>
    <col min="8" max="8" width="3.83203125" style="59" hidden="1" customWidth="1"/>
    <col min="9" max="9" width="4.6640625" style="85" hidden="1" customWidth="1"/>
    <col min="10" max="10" width="12.1640625" style="59" hidden="1" customWidth="1"/>
    <col min="11" max="11" width="5.83203125" style="59" hidden="1" customWidth="1"/>
    <col min="12" max="12" width="7" style="59" hidden="1" customWidth="1"/>
    <col min="13" max="13" width="8.1640625" style="59" bestFit="1" customWidth="1"/>
    <col min="14" max="14" width="9.83203125" style="59" hidden="1" customWidth="1"/>
    <col min="15" max="15" width="8.1640625" style="59" bestFit="1" customWidth="1"/>
    <col min="16" max="17" width="8.33203125" style="59" hidden="1" customWidth="1"/>
    <col min="18" max="18" width="7.83203125" style="59" bestFit="1" customWidth="1"/>
    <col min="19" max="19" width="9" style="59" customWidth="1"/>
    <col min="20" max="20" width="8.33203125" style="59" customWidth="1"/>
    <col min="21" max="21" width="7.83203125" style="59" customWidth="1"/>
    <col min="22" max="22" width="9" style="59" customWidth="1"/>
    <col min="23" max="23" width="9" style="59" hidden="1" customWidth="1"/>
    <col min="24" max="24" width="7.83203125" style="59" customWidth="1"/>
    <col min="25" max="25" width="9.5" style="59" customWidth="1"/>
    <col min="26" max="26" width="8.33203125" style="59" bestFit="1" customWidth="1"/>
    <col min="27" max="27" width="15.1640625" style="59" bestFit="1" customWidth="1"/>
    <col min="28" max="28" width="7.83203125" style="59" customWidth="1"/>
    <col min="29" max="29" width="7" style="59" bestFit="1" customWidth="1"/>
    <col min="30" max="30" width="9.1640625" style="59" bestFit="1" customWidth="1"/>
    <col min="31" max="32" width="6.33203125" style="59" bestFit="1" customWidth="1"/>
    <col min="33" max="33" width="10.83203125" style="85"/>
    <col min="34" max="40" width="10.83203125" style="59"/>
    <col min="41" max="41" width="10.83203125" style="85"/>
    <col min="42" max="43" width="10.83203125" style="1"/>
    <col min="44" max="50" width="10.83203125" style="59"/>
    <col min="51" max="16384" width="10.83203125" style="85"/>
  </cols>
  <sheetData>
    <row r="1" spans="1:50">
      <c r="A1" s="119"/>
      <c r="B1" s="83"/>
      <c r="C1" s="83"/>
      <c r="D1" s="83"/>
      <c r="E1" s="82"/>
      <c r="F1" s="83"/>
      <c r="G1" s="82"/>
      <c r="H1" s="83"/>
      <c r="I1" s="82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>
        <v>1.3</v>
      </c>
      <c r="V1" s="83"/>
      <c r="W1" s="83"/>
      <c r="X1" s="83"/>
      <c r="Y1" s="83"/>
      <c r="Z1" s="83"/>
      <c r="AA1" s="83"/>
      <c r="AB1" s="83"/>
      <c r="AC1" s="83"/>
      <c r="AD1" s="83" t="s">
        <v>18</v>
      </c>
      <c r="AE1" s="84">
        <f>1/3</f>
        <v>0.33333333333333331</v>
      </c>
      <c r="AF1" s="83"/>
    </row>
    <row r="2" spans="1:50" ht="17" thickBot="1">
      <c r="A2" s="120"/>
      <c r="B2" s="87"/>
      <c r="C2" s="87"/>
      <c r="D2" s="87"/>
      <c r="E2" s="86"/>
      <c r="F2" s="87"/>
      <c r="G2" s="86"/>
      <c r="H2" s="87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125"/>
      <c r="V2" s="87"/>
      <c r="W2" s="87"/>
      <c r="X2" s="87"/>
      <c r="Y2" s="87"/>
      <c r="Z2" s="87"/>
      <c r="AA2" s="87"/>
      <c r="AB2" s="87"/>
      <c r="AC2" s="87"/>
      <c r="AD2" s="87" t="s">
        <v>19</v>
      </c>
      <c r="AE2" s="88">
        <f>(1-AE1)/2</f>
        <v>0.33333333333333337</v>
      </c>
      <c r="AF2" s="87"/>
    </row>
    <row r="3" spans="1:50" ht="40" customHeight="1">
      <c r="A3" s="121"/>
      <c r="B3" s="60" t="s">
        <v>84</v>
      </c>
      <c r="C3" s="60" t="s">
        <v>36</v>
      </c>
      <c r="D3" s="135" t="s">
        <v>1</v>
      </c>
      <c r="E3" s="135"/>
      <c r="F3" s="135" t="s">
        <v>2</v>
      </c>
      <c r="G3" s="135"/>
      <c r="H3" s="135" t="s">
        <v>3</v>
      </c>
      <c r="I3" s="135"/>
      <c r="J3" s="60" t="s">
        <v>41</v>
      </c>
      <c r="K3" s="60" t="s">
        <v>86</v>
      </c>
      <c r="L3" s="60" t="s">
        <v>14</v>
      </c>
      <c r="M3" s="60" t="s">
        <v>27</v>
      </c>
      <c r="N3" s="60" t="s">
        <v>45</v>
      </c>
      <c r="O3" s="60" t="s">
        <v>16</v>
      </c>
      <c r="P3" s="60" t="s">
        <v>84</v>
      </c>
      <c r="Q3" s="60" t="s">
        <v>82</v>
      </c>
      <c r="R3" s="60" t="s">
        <v>40</v>
      </c>
      <c r="S3" s="60" t="s">
        <v>42</v>
      </c>
      <c r="T3" s="60" t="s">
        <v>83</v>
      </c>
      <c r="U3" s="60" t="s">
        <v>85</v>
      </c>
      <c r="V3" s="60" t="s">
        <v>105</v>
      </c>
      <c r="W3" s="60" t="s">
        <v>43</v>
      </c>
      <c r="X3" s="60" t="s">
        <v>22</v>
      </c>
      <c r="Y3" s="60" t="s">
        <v>106</v>
      </c>
      <c r="Z3" s="60" t="s">
        <v>103</v>
      </c>
      <c r="AA3" s="60" t="s">
        <v>104</v>
      </c>
      <c r="AB3" s="60"/>
      <c r="AC3" s="60" t="s">
        <v>109</v>
      </c>
      <c r="AD3" s="60" t="s">
        <v>20</v>
      </c>
      <c r="AE3" s="60" t="s">
        <v>39</v>
      </c>
      <c r="AF3" s="61" t="s">
        <v>38</v>
      </c>
      <c r="AH3" s="59" t="s">
        <v>118</v>
      </c>
      <c r="AI3" s="126" t="s">
        <v>113</v>
      </c>
      <c r="AJ3" s="126" t="s">
        <v>82</v>
      </c>
      <c r="AK3" s="126" t="s">
        <v>114</v>
      </c>
      <c r="AL3" s="126" t="s">
        <v>115</v>
      </c>
      <c r="AM3" s="126" t="s">
        <v>116</v>
      </c>
      <c r="AN3" s="126" t="s">
        <v>117</v>
      </c>
      <c r="AO3" s="126" t="s">
        <v>67</v>
      </c>
      <c r="AP3" s="126" t="s">
        <v>85</v>
      </c>
      <c r="AQ3" s="126"/>
      <c r="AR3" s="126" t="s">
        <v>122</v>
      </c>
      <c r="AS3" s="126" t="s">
        <v>120</v>
      </c>
      <c r="AT3" s="126" t="s">
        <v>85</v>
      </c>
      <c r="AU3" s="126" t="s">
        <v>121</v>
      </c>
      <c r="AV3" s="126" t="s">
        <v>85</v>
      </c>
      <c r="AW3" s="59" t="s">
        <v>119</v>
      </c>
    </row>
    <row r="4" spans="1:50" hidden="1">
      <c r="A4" s="89" t="s">
        <v>28</v>
      </c>
      <c r="B4" s="90">
        <v>41</v>
      </c>
      <c r="C4" s="91" t="s">
        <v>34</v>
      </c>
      <c r="D4" s="91"/>
      <c r="E4" s="91"/>
      <c r="F4" s="91"/>
      <c r="G4" s="91"/>
      <c r="H4" s="91"/>
      <c r="I4" s="91"/>
      <c r="J4" s="90"/>
      <c r="K4" s="90"/>
      <c r="L4" s="90"/>
      <c r="M4" s="90">
        <v>1</v>
      </c>
      <c r="N4" s="90"/>
      <c r="O4" s="90">
        <v>16</v>
      </c>
      <c r="P4" s="90">
        <v>41</v>
      </c>
      <c r="Q4" s="90"/>
      <c r="R4" s="90">
        <v>16</v>
      </c>
      <c r="S4" s="90">
        <v>208</v>
      </c>
      <c r="T4" s="90"/>
      <c r="U4" s="93"/>
      <c r="V4" s="90"/>
      <c r="W4" s="92">
        <f t="shared" ref="W4:W11" si="0">R4/S4*8</f>
        <v>0.61538461538461542</v>
      </c>
      <c r="X4" s="93"/>
      <c r="Y4" s="93">
        <f>16/0.465/M4</f>
        <v>34.408602150537632</v>
      </c>
      <c r="Z4" s="93">
        <f t="shared" ref="Z4:Z11" si="1">Y4*R4</f>
        <v>550.53763440860212</v>
      </c>
      <c r="AA4" s="93"/>
      <c r="AB4" s="93"/>
      <c r="AC4" s="93"/>
      <c r="AD4" s="90"/>
      <c r="AE4" s="90"/>
      <c r="AF4" s="94"/>
    </row>
    <row r="5" spans="1:50">
      <c r="A5" s="89" t="s">
        <v>29</v>
      </c>
      <c r="B5" s="90">
        <v>41</v>
      </c>
      <c r="C5" s="91" t="s">
        <v>4</v>
      </c>
      <c r="D5" s="91"/>
      <c r="E5" s="91"/>
      <c r="F5" s="91"/>
      <c r="G5" s="91"/>
      <c r="H5" s="91"/>
      <c r="I5" s="91"/>
      <c r="J5" s="90"/>
      <c r="K5" s="90">
        <v>4</v>
      </c>
      <c r="L5" s="90"/>
      <c r="M5" s="90">
        <v>1</v>
      </c>
      <c r="N5" s="90"/>
      <c r="O5" s="90">
        <v>32</v>
      </c>
      <c r="P5" s="90">
        <v>41</v>
      </c>
      <c r="Q5" s="90"/>
      <c r="R5" s="90">
        <v>32</v>
      </c>
      <c r="S5" s="90">
        <v>199</v>
      </c>
      <c r="T5" s="90">
        <v>104</v>
      </c>
      <c r="U5" s="98">
        <f t="shared" ref="U5:U11" si="2">IF(AA5 &gt; $U$1, $U$1, AA5)</f>
        <v>0.91609462365591388</v>
      </c>
      <c r="V5" s="90">
        <v>465</v>
      </c>
      <c r="W5" s="92">
        <f t="shared" si="0"/>
        <v>1.2864321608040201</v>
      </c>
      <c r="X5" s="93">
        <f>IF(AA5 &gt; $U$1, $U$1/AA5*Z5, Z5)</f>
        <v>1101.0752688172042</v>
      </c>
      <c r="Y5" s="93">
        <f>16/V5/M5*10^3</f>
        <v>34.408602150537632</v>
      </c>
      <c r="Z5" s="93">
        <f>Y5*R5</f>
        <v>1101.0752688172042</v>
      </c>
      <c r="AA5" s="98">
        <f t="shared" ref="AA5:AA11" si="3">T5*10^-6*8*Z5</f>
        <v>0.91609462365591388</v>
      </c>
      <c r="AB5" s="93"/>
      <c r="AC5" s="93" t="s">
        <v>110</v>
      </c>
      <c r="AD5" s="95">
        <f>AD6/0.75</f>
        <v>1.3333333333333333</v>
      </c>
      <c r="AE5" s="96">
        <f t="shared" ref="AE5:AE11" si="4">AD5*R5/$R$6</f>
        <v>1.3333333333333333</v>
      </c>
      <c r="AF5" s="97">
        <f t="shared" ref="AF5:AF11" si="5">(AD5/$AD$6)/(Y5/$Y$6)</f>
        <v>1.8235294117647058</v>
      </c>
      <c r="AH5" s="59">
        <v>1</v>
      </c>
      <c r="AI5" s="59">
        <v>101</v>
      </c>
      <c r="AJ5" s="59">
        <v>46</v>
      </c>
      <c r="AK5" s="59">
        <f t="shared" ref="AK5:AK10" si="6">AH5*AI5+$V5</f>
        <v>566</v>
      </c>
      <c r="AL5" s="59">
        <f t="shared" ref="AL5:AL10" si="7">AH5*AJ5+$T5</f>
        <v>150</v>
      </c>
      <c r="AM5" s="117">
        <f t="shared" ref="AM5:AM10" si="8">16/AK5*$O5*10^3</f>
        <v>904.59363957597168</v>
      </c>
      <c r="AN5" s="127">
        <f t="shared" ref="AN5:AN10" si="9">AM5*8*AL5*10^-6</f>
        <v>1.085512367491166</v>
      </c>
      <c r="AO5" s="117">
        <f t="shared" ref="AO5:AO10" si="10">IF(AN5 &gt; $U$1, $U$1/AN5*AM5, AM5)</f>
        <v>904.59363957597168</v>
      </c>
      <c r="AP5" s="128">
        <f t="shared" ref="AP5:AP10" si="11">AO5*AL5*8*10^-6</f>
        <v>1.085512367491166</v>
      </c>
      <c r="AQ5" s="128"/>
      <c r="AR5" s="59">
        <v>1600</v>
      </c>
      <c r="AS5" s="117">
        <f>X5</f>
        <v>1101.0752688172042</v>
      </c>
      <c r="AT5" s="137">
        <f>AS5*8*T5*10^-6</f>
        <v>0.91609462365591388</v>
      </c>
      <c r="AU5" s="117">
        <f>1/(1/AR5+1/AS5)</f>
        <v>652.22929936305729</v>
      </c>
      <c r="AV5" s="127">
        <f>AU5*(AJ5+T5)*8*10^-6</f>
        <v>0.78267515923566866</v>
      </c>
      <c r="AW5" s="138">
        <f>1/(2/AR5+1/AS5)</f>
        <v>463.34841628959276</v>
      </c>
      <c r="AX5" s="127">
        <f>AW5*(2*AJ5+T5)*8*10^-6</f>
        <v>0.72653031674208135</v>
      </c>
    </row>
    <row r="6" spans="1:50" ht="18">
      <c r="A6" s="89" t="s">
        <v>87</v>
      </c>
      <c r="B6" s="90">
        <v>33.5</v>
      </c>
      <c r="C6" s="91" t="s">
        <v>4</v>
      </c>
      <c r="D6" s="91"/>
      <c r="E6" s="91"/>
      <c r="F6" s="91"/>
      <c r="G6" s="91"/>
      <c r="H6" s="91"/>
      <c r="I6" s="91"/>
      <c r="J6" s="90"/>
      <c r="K6" s="90">
        <v>4</v>
      </c>
      <c r="L6" s="90"/>
      <c r="M6" s="90">
        <v>1</v>
      </c>
      <c r="N6" s="90"/>
      <c r="O6" s="90">
        <v>32</v>
      </c>
      <c r="P6" s="90">
        <v>33.5</v>
      </c>
      <c r="Q6" s="90">
        <v>46</v>
      </c>
      <c r="R6" s="90">
        <v>32</v>
      </c>
      <c r="S6" s="90">
        <v>133</v>
      </c>
      <c r="T6" s="90">
        <v>84</v>
      </c>
      <c r="U6" s="98">
        <f t="shared" si="2"/>
        <v>1.0119529411764705</v>
      </c>
      <c r="V6" s="90">
        <v>340</v>
      </c>
      <c r="W6" s="92">
        <f t="shared" si="0"/>
        <v>1.9248120300751879</v>
      </c>
      <c r="X6" s="93">
        <f t="shared" ref="X6:X11" si="12">IF(AA6 &gt; $U$1, $U$1/AA6*Z6, Z6)</f>
        <v>1505.8823529411764</v>
      </c>
      <c r="Y6" s="93">
        <f t="shared" ref="Y6:Y11" si="13">16/V6/M6*10^3</f>
        <v>47.058823529411761</v>
      </c>
      <c r="Z6" s="93">
        <f t="shared" si="1"/>
        <v>1505.8823529411764</v>
      </c>
      <c r="AA6" s="98">
        <f t="shared" si="3"/>
        <v>1.0119529411764705</v>
      </c>
      <c r="AB6" s="93"/>
      <c r="AC6" s="99" t="s">
        <v>111</v>
      </c>
      <c r="AD6" s="100">
        <f>AD8/0.75</f>
        <v>1</v>
      </c>
      <c r="AE6" s="101">
        <f t="shared" si="4"/>
        <v>1</v>
      </c>
      <c r="AF6" s="102">
        <f t="shared" si="5"/>
        <v>1</v>
      </c>
      <c r="AH6" s="59">
        <f>AH5</f>
        <v>1</v>
      </c>
      <c r="AI6" s="59">
        <v>101</v>
      </c>
      <c r="AJ6" s="59">
        <v>46</v>
      </c>
      <c r="AK6" s="59">
        <f t="shared" si="6"/>
        <v>441</v>
      </c>
      <c r="AL6" s="59">
        <f t="shared" si="7"/>
        <v>130</v>
      </c>
      <c r="AM6" s="117">
        <f t="shared" si="8"/>
        <v>1160.9977324263039</v>
      </c>
      <c r="AN6" s="127">
        <f t="shared" si="9"/>
        <v>1.2074376417233559</v>
      </c>
      <c r="AO6" s="117">
        <f t="shared" si="10"/>
        <v>1160.9977324263039</v>
      </c>
      <c r="AP6" s="128">
        <f t="shared" si="11"/>
        <v>1.2074376417233559</v>
      </c>
      <c r="AQ6" s="128"/>
      <c r="AR6" s="59">
        <v>3200</v>
      </c>
      <c r="AS6" s="117">
        <f t="shared" ref="AS6:AS10" si="14">X6</f>
        <v>1505.8823529411764</v>
      </c>
      <c r="AT6" s="137">
        <f t="shared" ref="AT6:AT10" si="15">AS6*8*T6*10^-6</f>
        <v>1.0119529411764705</v>
      </c>
      <c r="AU6" s="117">
        <f t="shared" ref="AU6:AU10" si="16">1/(1/AR6+1/AS6)</f>
        <v>1024</v>
      </c>
      <c r="AV6" s="127">
        <f t="shared" ref="AV6:AV10" si="17">AU6*(AJ6+T6)*8*10^-6</f>
        <v>1.0649599999999999</v>
      </c>
      <c r="AW6" s="138">
        <f t="shared" ref="AW6:AW10" si="18">1/(2/AR6+1/AS6)</f>
        <v>775.75757575757575</v>
      </c>
      <c r="AX6" s="127">
        <f t="shared" ref="AX6:AX10" si="19">AW6*(2*AJ6+T6)*8*10^-6</f>
        <v>1.0922666666666667</v>
      </c>
    </row>
    <row r="7" spans="1:50" ht="18">
      <c r="A7" s="89" t="s">
        <v>88</v>
      </c>
      <c r="B7" s="90">
        <v>33.5</v>
      </c>
      <c r="C7" s="91" t="s">
        <v>4</v>
      </c>
      <c r="D7" s="91"/>
      <c r="E7" s="91"/>
      <c r="F7" s="91"/>
      <c r="G7" s="91"/>
      <c r="H7" s="91"/>
      <c r="I7" s="91"/>
      <c r="J7" s="90"/>
      <c r="K7" s="90">
        <v>4</v>
      </c>
      <c r="L7" s="90"/>
      <c r="M7" s="90">
        <v>1</v>
      </c>
      <c r="N7" s="90"/>
      <c r="O7" s="90">
        <v>32</v>
      </c>
      <c r="P7" s="90">
        <v>33.5</v>
      </c>
      <c r="Q7" s="90">
        <v>46</v>
      </c>
      <c r="R7" s="90">
        <v>32</v>
      </c>
      <c r="S7" s="90">
        <v>133</v>
      </c>
      <c r="T7" s="90">
        <v>84</v>
      </c>
      <c r="U7" s="98">
        <f t="shared" si="2"/>
        <v>1.1468799999999999</v>
      </c>
      <c r="V7" s="90">
        <v>300</v>
      </c>
      <c r="W7" s="92">
        <f t="shared" si="0"/>
        <v>1.9248120300751879</v>
      </c>
      <c r="X7" s="93">
        <f t="shared" si="12"/>
        <v>1706.6666666666667</v>
      </c>
      <c r="Y7" s="93">
        <f t="shared" si="13"/>
        <v>53.333333333333336</v>
      </c>
      <c r="Z7" s="93">
        <f t="shared" si="1"/>
        <v>1706.6666666666667</v>
      </c>
      <c r="AA7" s="98">
        <f t="shared" si="3"/>
        <v>1.1468799999999999</v>
      </c>
      <c r="AB7" s="93"/>
      <c r="AC7" s="99" t="s">
        <v>111</v>
      </c>
      <c r="AD7" s="100">
        <f>AD10/0.75</f>
        <v>1.0857142857142859</v>
      </c>
      <c r="AE7" s="101">
        <f t="shared" si="4"/>
        <v>1.0857142857142859</v>
      </c>
      <c r="AF7" s="102">
        <f t="shared" si="5"/>
        <v>0.95798319327731085</v>
      </c>
      <c r="AH7" s="59">
        <f t="shared" ref="AH7:AH41" si="20">AH6</f>
        <v>1</v>
      </c>
      <c r="AI7" s="59">
        <v>101</v>
      </c>
      <c r="AJ7" s="59">
        <v>46</v>
      </c>
      <c r="AK7" s="59">
        <f t="shared" si="6"/>
        <v>401</v>
      </c>
      <c r="AL7" s="59">
        <f t="shared" si="7"/>
        <v>130</v>
      </c>
      <c r="AM7" s="117">
        <f t="shared" si="8"/>
        <v>1276.8079800498754</v>
      </c>
      <c r="AN7" s="127">
        <f t="shared" si="9"/>
        <v>1.3278802992518703</v>
      </c>
      <c r="AO7" s="117">
        <f t="shared" si="10"/>
        <v>1250</v>
      </c>
      <c r="AP7" s="128">
        <f t="shared" si="11"/>
        <v>1.3</v>
      </c>
      <c r="AQ7" s="128"/>
      <c r="AR7" s="59">
        <v>3200</v>
      </c>
      <c r="AS7" s="139">
        <f t="shared" si="14"/>
        <v>1706.6666666666667</v>
      </c>
      <c r="AT7" s="140">
        <f t="shared" si="15"/>
        <v>1.1468799999999999</v>
      </c>
      <c r="AU7" s="139">
        <f t="shared" si="16"/>
        <v>1113.0434782608697</v>
      </c>
      <c r="AV7" s="141">
        <f t="shared" si="17"/>
        <v>1.1575652173913045</v>
      </c>
      <c r="AW7" s="142">
        <f t="shared" si="18"/>
        <v>825.80645161290329</v>
      </c>
      <c r="AX7" s="141">
        <f t="shared" si="19"/>
        <v>1.1627354838709678</v>
      </c>
    </row>
    <row r="8" spans="1:50">
      <c r="A8" s="132" t="s">
        <v>31</v>
      </c>
      <c r="B8" s="91">
        <v>26.5</v>
      </c>
      <c r="C8" s="91" t="s">
        <v>4</v>
      </c>
      <c r="D8" s="103" t="s">
        <v>9</v>
      </c>
      <c r="E8" s="104">
        <f>1/3</f>
        <v>0.33333333333333331</v>
      </c>
      <c r="F8" s="103" t="s">
        <v>9</v>
      </c>
      <c r="G8" s="104">
        <f>1/3</f>
        <v>0.33333333333333331</v>
      </c>
      <c r="H8" s="91" t="s">
        <v>0</v>
      </c>
      <c r="I8" s="104">
        <f>1/3</f>
        <v>0.33333333333333331</v>
      </c>
      <c r="J8" s="91">
        <f>(E8+G8+I8)/1</f>
        <v>1</v>
      </c>
      <c r="K8" s="91">
        <v>4</v>
      </c>
      <c r="L8" s="96">
        <f t="shared" ref="L8:L13" si="21">1/J8</f>
        <v>1</v>
      </c>
      <c r="M8" s="91">
        <f>4*4*4*16/1024</f>
        <v>1</v>
      </c>
      <c r="N8" s="105">
        <v>1</v>
      </c>
      <c r="O8" s="91">
        <v>64</v>
      </c>
      <c r="P8" s="91">
        <v>26.5</v>
      </c>
      <c r="Q8" s="91">
        <v>32</v>
      </c>
      <c r="R8" s="91">
        <f>M8*O8</f>
        <v>64</v>
      </c>
      <c r="S8" s="91">
        <v>175</v>
      </c>
      <c r="T8" s="91">
        <v>55</v>
      </c>
      <c r="U8" s="98">
        <f t="shared" si="2"/>
        <v>1.3</v>
      </c>
      <c r="V8" s="91">
        <v>300</v>
      </c>
      <c r="W8" s="92">
        <f t="shared" si="0"/>
        <v>2.9257142857142857</v>
      </c>
      <c r="X8" s="93">
        <f t="shared" si="12"/>
        <v>2954.5454545454545</v>
      </c>
      <c r="Y8" s="93">
        <f t="shared" si="13"/>
        <v>53.333333333333336</v>
      </c>
      <c r="Z8" s="93">
        <f t="shared" si="1"/>
        <v>3413.3333333333335</v>
      </c>
      <c r="AA8" s="98">
        <f t="shared" si="3"/>
        <v>1.5018666666666667</v>
      </c>
      <c r="AB8" s="93"/>
      <c r="AC8" s="98" t="s">
        <v>110</v>
      </c>
      <c r="AD8" s="96">
        <f>($AE$1+$AE$2*K8/2)*75%*$W$8/W8</f>
        <v>0.75</v>
      </c>
      <c r="AE8" s="96">
        <f t="shared" si="4"/>
        <v>1.5</v>
      </c>
      <c r="AF8" s="97">
        <f t="shared" si="5"/>
        <v>0.66176470588235281</v>
      </c>
      <c r="AH8" s="59">
        <f t="shared" si="20"/>
        <v>1</v>
      </c>
      <c r="AI8" s="59">
        <v>101</v>
      </c>
      <c r="AJ8" s="59">
        <v>32</v>
      </c>
      <c r="AK8" s="59">
        <f t="shared" si="6"/>
        <v>401</v>
      </c>
      <c r="AL8" s="59">
        <f>AH8*AJ8+$T8</f>
        <v>87</v>
      </c>
      <c r="AM8" s="117">
        <f t="shared" si="8"/>
        <v>2553.6159600997507</v>
      </c>
      <c r="AN8" s="127">
        <f t="shared" si="9"/>
        <v>1.7773167082294266</v>
      </c>
      <c r="AO8" s="117">
        <f t="shared" si="10"/>
        <v>1867.8160919540228</v>
      </c>
      <c r="AP8" s="128">
        <f t="shared" si="11"/>
        <v>1.2999999999999996</v>
      </c>
      <c r="AQ8" s="128"/>
      <c r="AR8" s="59">
        <v>4800</v>
      </c>
      <c r="AS8" s="139">
        <f t="shared" si="14"/>
        <v>2954.5454545454545</v>
      </c>
      <c r="AT8" s="140">
        <f t="shared" si="15"/>
        <v>1.3</v>
      </c>
      <c r="AU8" s="139">
        <f t="shared" si="16"/>
        <v>1828.8393903868698</v>
      </c>
      <c r="AV8" s="141">
        <f t="shared" si="17"/>
        <v>1.2728722157092613</v>
      </c>
      <c r="AW8" s="142">
        <f t="shared" si="18"/>
        <v>1324.2784380305604</v>
      </c>
      <c r="AX8" s="141">
        <f t="shared" si="19"/>
        <v>1.2607130730050935</v>
      </c>
    </row>
    <row r="9" spans="1:50" ht="18">
      <c r="A9" s="134"/>
      <c r="B9" s="91">
        <v>26.5</v>
      </c>
      <c r="C9" s="91" t="s">
        <v>4</v>
      </c>
      <c r="D9" s="103" t="s">
        <v>9</v>
      </c>
      <c r="E9" s="104">
        <f>1/3</f>
        <v>0.33333333333333331</v>
      </c>
      <c r="F9" s="103" t="s">
        <v>9</v>
      </c>
      <c r="G9" s="104">
        <f>1/3</f>
        <v>0.33333333333333331</v>
      </c>
      <c r="H9" s="91" t="s">
        <v>0</v>
      </c>
      <c r="I9" s="104">
        <f>1/3</f>
        <v>0.33333333333333331</v>
      </c>
      <c r="J9" s="91">
        <f>(E9+G9+I9)/1</f>
        <v>1</v>
      </c>
      <c r="K9" s="91">
        <v>4</v>
      </c>
      <c r="L9" s="96">
        <f t="shared" ref="L9" si="22">1/J9</f>
        <v>1</v>
      </c>
      <c r="M9" s="91">
        <f>4*4*4*16/1024</f>
        <v>1</v>
      </c>
      <c r="N9" s="105">
        <v>1</v>
      </c>
      <c r="O9" s="91">
        <v>64</v>
      </c>
      <c r="P9" s="91">
        <v>26.5</v>
      </c>
      <c r="Q9" s="91">
        <v>32</v>
      </c>
      <c r="R9" s="91">
        <f>M9*O9</f>
        <v>64</v>
      </c>
      <c r="S9" s="91">
        <v>175</v>
      </c>
      <c r="T9" s="91">
        <v>55</v>
      </c>
      <c r="U9" s="98">
        <f t="shared" si="2"/>
        <v>1.3</v>
      </c>
      <c r="V9" s="91">
        <v>300</v>
      </c>
      <c r="W9" s="92">
        <f t="shared" si="0"/>
        <v>2.9257142857142857</v>
      </c>
      <c r="X9" s="93">
        <f t="shared" si="12"/>
        <v>2954.5454545454545</v>
      </c>
      <c r="Y9" s="93">
        <f t="shared" si="13"/>
        <v>53.333333333333336</v>
      </c>
      <c r="Z9" s="93">
        <f t="shared" si="1"/>
        <v>3413.3333333333335</v>
      </c>
      <c r="AA9" s="98">
        <f t="shared" si="3"/>
        <v>1.5018666666666667</v>
      </c>
      <c r="AB9" s="93"/>
      <c r="AC9" s="106" t="s">
        <v>112</v>
      </c>
      <c r="AD9" s="96">
        <f>($AE$1+$AE$2*K9/2)*75%*$W$8/W9</f>
        <v>0.75</v>
      </c>
      <c r="AE9" s="96">
        <f t="shared" si="4"/>
        <v>1.5</v>
      </c>
      <c r="AF9" s="97">
        <f t="shared" si="5"/>
        <v>0.66176470588235281</v>
      </c>
      <c r="AH9" s="59">
        <f t="shared" si="20"/>
        <v>1</v>
      </c>
      <c r="AI9" s="59">
        <v>101</v>
      </c>
      <c r="AJ9" s="59">
        <v>32</v>
      </c>
      <c r="AK9" s="59">
        <f t="shared" si="6"/>
        <v>401</v>
      </c>
      <c r="AL9" s="59">
        <f t="shared" si="7"/>
        <v>87</v>
      </c>
      <c r="AM9" s="117">
        <f t="shared" si="8"/>
        <v>2553.6159600997507</v>
      </c>
      <c r="AN9" s="127">
        <f t="shared" si="9"/>
        <v>1.7773167082294266</v>
      </c>
      <c r="AO9" s="117">
        <f t="shared" si="10"/>
        <v>1867.8160919540228</v>
      </c>
      <c r="AP9" s="128">
        <f t="shared" si="11"/>
        <v>1.2999999999999996</v>
      </c>
      <c r="AQ9" s="128"/>
      <c r="AR9" s="59">
        <v>4800</v>
      </c>
      <c r="AS9" s="117">
        <f t="shared" si="14"/>
        <v>2954.5454545454545</v>
      </c>
      <c r="AT9" s="137">
        <f t="shared" si="15"/>
        <v>1.3</v>
      </c>
      <c r="AU9" s="117">
        <f t="shared" si="16"/>
        <v>1828.8393903868698</v>
      </c>
      <c r="AV9" s="127">
        <f t="shared" si="17"/>
        <v>1.2728722157092613</v>
      </c>
      <c r="AW9" s="138">
        <f t="shared" si="18"/>
        <v>1324.2784380305604</v>
      </c>
      <c r="AX9" s="127">
        <f t="shared" si="19"/>
        <v>1.2607130730050935</v>
      </c>
    </row>
    <row r="10" spans="1:50" ht="18">
      <c r="A10" s="89" t="s">
        <v>32</v>
      </c>
      <c r="B10" s="91">
        <v>26.5</v>
      </c>
      <c r="C10" s="91" t="s">
        <v>4</v>
      </c>
      <c r="D10" s="103" t="s">
        <v>9</v>
      </c>
      <c r="E10" s="104">
        <f>1/3</f>
        <v>0.33333333333333331</v>
      </c>
      <c r="F10" s="103" t="s">
        <v>9</v>
      </c>
      <c r="G10" s="104">
        <f>1/3</f>
        <v>0.33333333333333331</v>
      </c>
      <c r="H10" s="91" t="s">
        <v>0</v>
      </c>
      <c r="I10" s="104">
        <f>1/3</f>
        <v>0.33333333333333331</v>
      </c>
      <c r="J10" s="91">
        <f>(E10+G10+I10)/1</f>
        <v>1</v>
      </c>
      <c r="K10" s="91">
        <v>4</v>
      </c>
      <c r="L10" s="96">
        <f t="shared" si="21"/>
        <v>1</v>
      </c>
      <c r="M10" s="91">
        <f>4*4*4*16/1024</f>
        <v>1</v>
      </c>
      <c r="N10" s="105">
        <v>1</v>
      </c>
      <c r="O10" s="91">
        <v>32</v>
      </c>
      <c r="P10" s="91">
        <v>26.5</v>
      </c>
      <c r="Q10" s="91">
        <v>32</v>
      </c>
      <c r="R10" s="91">
        <f>M10*O10</f>
        <v>32</v>
      </c>
      <c r="S10" s="91">
        <v>95</v>
      </c>
      <c r="T10" s="91">
        <v>55</v>
      </c>
      <c r="U10" s="98">
        <f t="shared" si="2"/>
        <v>0.75093333333333334</v>
      </c>
      <c r="V10" s="91">
        <v>300</v>
      </c>
      <c r="W10" s="92">
        <f t="shared" si="0"/>
        <v>2.6947368421052631</v>
      </c>
      <c r="X10" s="93">
        <f t="shared" si="12"/>
        <v>1706.6666666666667</v>
      </c>
      <c r="Y10" s="93">
        <f t="shared" si="13"/>
        <v>53.333333333333336</v>
      </c>
      <c r="Z10" s="93">
        <f t="shared" si="1"/>
        <v>1706.6666666666667</v>
      </c>
      <c r="AA10" s="98">
        <f t="shared" si="3"/>
        <v>0.75093333333333334</v>
      </c>
      <c r="AB10" s="93"/>
      <c r="AC10" s="106" t="s">
        <v>112</v>
      </c>
      <c r="AD10" s="96">
        <f>($AE$1+$AE$2*K10/2)*75%*$W$8/W10</f>
        <v>0.81428571428571439</v>
      </c>
      <c r="AE10" s="96">
        <f t="shared" si="4"/>
        <v>0.81428571428571439</v>
      </c>
      <c r="AF10" s="97">
        <f t="shared" si="5"/>
        <v>0.71848739495798319</v>
      </c>
      <c r="AH10" s="59">
        <f t="shared" si="20"/>
        <v>1</v>
      </c>
      <c r="AI10" s="59">
        <v>101</v>
      </c>
      <c r="AJ10" s="59">
        <v>32</v>
      </c>
      <c r="AK10" s="59">
        <f t="shared" si="6"/>
        <v>401</v>
      </c>
      <c r="AL10" s="59">
        <f t="shared" si="7"/>
        <v>87</v>
      </c>
      <c r="AM10" s="117">
        <f t="shared" si="8"/>
        <v>1276.8079800498754</v>
      </c>
      <c r="AN10" s="127">
        <f t="shared" si="9"/>
        <v>0.88865835411471328</v>
      </c>
      <c r="AO10" s="117">
        <f t="shared" si="10"/>
        <v>1276.8079800498754</v>
      </c>
      <c r="AP10" s="128">
        <f t="shared" si="11"/>
        <v>0.88865835411471328</v>
      </c>
      <c r="AQ10" s="128"/>
      <c r="AR10" s="59">
        <v>4800</v>
      </c>
      <c r="AS10" s="139">
        <f t="shared" si="14"/>
        <v>1706.6666666666667</v>
      </c>
      <c r="AT10" s="140">
        <f t="shared" si="15"/>
        <v>0.75093333333333334</v>
      </c>
      <c r="AU10" s="139">
        <f t="shared" si="16"/>
        <v>1259.016393442623</v>
      </c>
      <c r="AV10" s="141">
        <f t="shared" si="17"/>
        <v>0.87627540983606556</v>
      </c>
      <c r="AW10" s="142">
        <f t="shared" si="18"/>
        <v>997.40259740259751</v>
      </c>
      <c r="AX10" s="141">
        <f t="shared" si="19"/>
        <v>0.94952727272727278</v>
      </c>
    </row>
    <row r="11" spans="1:50" hidden="1">
      <c r="A11" s="89" t="s">
        <v>33</v>
      </c>
      <c r="B11" s="91">
        <v>26.5</v>
      </c>
      <c r="C11" s="91" t="s">
        <v>15</v>
      </c>
      <c r="D11" s="103" t="s">
        <v>9</v>
      </c>
      <c r="E11" s="104">
        <f>1/3</f>
        <v>0.33333333333333331</v>
      </c>
      <c r="F11" s="103" t="s">
        <v>9</v>
      </c>
      <c r="G11" s="104">
        <f>1/3</f>
        <v>0.33333333333333331</v>
      </c>
      <c r="H11" s="91" t="s">
        <v>0</v>
      </c>
      <c r="I11" s="104">
        <f>1/3</f>
        <v>0.33333333333333331</v>
      </c>
      <c r="J11" s="91">
        <f>(E11+G11+I11)/1</f>
        <v>1</v>
      </c>
      <c r="K11" s="91">
        <v>2</v>
      </c>
      <c r="L11" s="96">
        <f t="shared" si="21"/>
        <v>1</v>
      </c>
      <c r="M11" s="91">
        <f>4*4*2*16/1024</f>
        <v>0.5</v>
      </c>
      <c r="N11" s="105">
        <v>1</v>
      </c>
      <c r="O11" s="91">
        <v>64</v>
      </c>
      <c r="P11" s="91">
        <v>26.5</v>
      </c>
      <c r="Q11" s="91">
        <v>32</v>
      </c>
      <c r="R11" s="91">
        <f>M11*O11</f>
        <v>32</v>
      </c>
      <c r="S11" s="91">
        <f>S8</f>
        <v>175</v>
      </c>
      <c r="T11" s="91">
        <v>55</v>
      </c>
      <c r="U11" s="98">
        <f t="shared" si="2"/>
        <v>1.3</v>
      </c>
      <c r="V11" s="91">
        <v>300</v>
      </c>
      <c r="W11" s="92">
        <f t="shared" si="0"/>
        <v>1.4628571428571429</v>
      </c>
      <c r="X11" s="93">
        <f t="shared" si="12"/>
        <v>2954.5454545454545</v>
      </c>
      <c r="Y11" s="93">
        <f t="shared" si="13"/>
        <v>106.66666666666667</v>
      </c>
      <c r="Z11" s="93">
        <f t="shared" si="1"/>
        <v>3413.3333333333335</v>
      </c>
      <c r="AA11" s="98">
        <f t="shared" si="3"/>
        <v>1.5018666666666667</v>
      </c>
      <c r="AB11" s="93"/>
      <c r="AC11" s="98"/>
      <c r="AD11" s="96">
        <f>($AE$1+$AE$2*K11/2)*75%*$W$8/W11</f>
        <v>1</v>
      </c>
      <c r="AE11" s="96">
        <f t="shared" si="4"/>
        <v>1</v>
      </c>
      <c r="AF11" s="97">
        <f t="shared" si="5"/>
        <v>0.44117647058823523</v>
      </c>
      <c r="AH11" s="59">
        <f t="shared" si="20"/>
        <v>1</v>
      </c>
    </row>
    <row r="12" spans="1:50">
      <c r="A12" s="89"/>
      <c r="B12" s="91"/>
      <c r="C12" s="91"/>
      <c r="D12" s="103"/>
      <c r="E12" s="104"/>
      <c r="F12" s="103"/>
      <c r="G12" s="104"/>
      <c r="H12" s="91"/>
      <c r="I12" s="104"/>
      <c r="J12" s="91"/>
      <c r="K12" s="91"/>
      <c r="L12" s="96"/>
      <c r="M12" s="91"/>
      <c r="N12" s="105"/>
      <c r="O12" s="91"/>
      <c r="P12" s="91"/>
      <c r="Q12" s="91"/>
      <c r="R12" s="91"/>
      <c r="S12" s="91"/>
      <c r="T12" s="91"/>
      <c r="U12" s="93"/>
      <c r="V12" s="91"/>
      <c r="W12" s="92"/>
      <c r="X12" s="93"/>
      <c r="Y12" s="93"/>
      <c r="Z12" s="93"/>
      <c r="AA12" s="98"/>
      <c r="AB12" s="93"/>
      <c r="AC12" s="93"/>
      <c r="AD12" s="96"/>
      <c r="AE12" s="96"/>
      <c r="AF12" s="107"/>
      <c r="AH12" s="59">
        <v>2</v>
      </c>
    </row>
    <row r="13" spans="1:50">
      <c r="A13" s="132" t="s">
        <v>89</v>
      </c>
      <c r="B13" s="91">
        <v>41</v>
      </c>
      <c r="C13" s="91" t="s">
        <v>4</v>
      </c>
      <c r="D13" s="103" t="s">
        <v>9</v>
      </c>
      <c r="E13" s="104">
        <f>1/3</f>
        <v>0.33333333333333331</v>
      </c>
      <c r="F13" s="103" t="s">
        <v>9</v>
      </c>
      <c r="G13" s="104">
        <f>1/3</f>
        <v>0.33333333333333331</v>
      </c>
      <c r="H13" s="91" t="s">
        <v>0</v>
      </c>
      <c r="I13" s="104">
        <f>1/3</f>
        <v>0.33333333333333331</v>
      </c>
      <c r="J13" s="91">
        <f>(E13+G13+I13)/1</f>
        <v>1</v>
      </c>
      <c r="K13" s="91">
        <v>4</v>
      </c>
      <c r="L13" s="96">
        <f t="shared" si="21"/>
        <v>1</v>
      </c>
      <c r="M13" s="91">
        <f>4*4*4*16/1024</f>
        <v>1</v>
      </c>
      <c r="N13" s="105">
        <v>1</v>
      </c>
      <c r="O13" s="91">
        <v>32</v>
      </c>
      <c r="P13" s="91">
        <v>41</v>
      </c>
      <c r="Q13" s="91"/>
      <c r="R13" s="91">
        <f>M13*O13</f>
        <v>32</v>
      </c>
      <c r="S13" s="91">
        <v>199</v>
      </c>
      <c r="T13" s="91">
        <v>104</v>
      </c>
      <c r="U13" s="98">
        <f>IF(AA13 &gt; $U$1, $U$1, AA13)</f>
        <v>1.3</v>
      </c>
      <c r="V13" s="91">
        <v>240</v>
      </c>
      <c r="W13" s="92">
        <f>R13/S13*8</f>
        <v>1.2864321608040201</v>
      </c>
      <c r="X13" s="93">
        <f>IF(AA13 &gt; $U$1, $U$1/AA13*Z13, Z13)</f>
        <v>1562.5000000000005</v>
      </c>
      <c r="Y13" s="93">
        <f>16/V13/M13*10^3</f>
        <v>66.666666666666671</v>
      </c>
      <c r="Z13" s="93">
        <f>Y13*R13</f>
        <v>2133.3333333333335</v>
      </c>
      <c r="AA13" s="98">
        <f>T13*10^-6*8*Z13</f>
        <v>1.7749333333333333</v>
      </c>
      <c r="AB13" s="93"/>
      <c r="AC13" s="98" t="s">
        <v>110</v>
      </c>
      <c r="AD13" s="96">
        <f>($AE$1+$AE$2*K13/2)*75%*$W$8/W13</f>
        <v>1.7057142857142857</v>
      </c>
      <c r="AE13" s="96">
        <f>($AE$1+$AE$2*L13/2)*75%*$W$8/Z13</f>
        <v>5.142857142857143E-4</v>
      </c>
      <c r="AF13" s="96">
        <f>($AE$1+$AE$2*M13/2)*75%*$W$8/Y13</f>
        <v>1.6457142857142858E-2</v>
      </c>
      <c r="AH13" s="59">
        <f t="shared" ref="AH13:AH15" si="23">AH12</f>
        <v>2</v>
      </c>
      <c r="AI13" s="59">
        <v>101</v>
      </c>
      <c r="AJ13" s="59">
        <v>46</v>
      </c>
      <c r="AK13" s="59">
        <f t="shared" ref="AK13:AK15" si="24">AH13*AI13+$V13</f>
        <v>442</v>
      </c>
      <c r="AL13" s="59">
        <f t="shared" ref="AL13:AL15" si="25">AH13*AJ13+$T13</f>
        <v>196</v>
      </c>
      <c r="AM13" s="117">
        <f t="shared" ref="AM13:AM15" si="26">16/AK13*$O13*10^3</f>
        <v>1158.3710407239821</v>
      </c>
      <c r="AN13" s="127">
        <f t="shared" ref="AN13:AN15" si="27">AM13*8*AL13*10^-6</f>
        <v>1.8163257918552038</v>
      </c>
      <c r="AO13" s="117">
        <f t="shared" ref="AO13:AO15" si="28">IF(AN13 &gt; $U$1, $U$1/AN13*AM13, AM13)</f>
        <v>829.08163265306132</v>
      </c>
      <c r="AP13" s="128">
        <f t="shared" ref="AP13:AP15" si="29">AO13*AL13*8*10^-6</f>
        <v>1.3000000000000003</v>
      </c>
      <c r="AQ13" s="128"/>
      <c r="AR13" s="59">
        <v>4800</v>
      </c>
      <c r="AS13" s="117">
        <f t="shared" ref="AS13:AS15" si="30">X13</f>
        <v>1562.5000000000005</v>
      </c>
      <c r="AT13" s="137">
        <f t="shared" ref="AT13:AT15" si="31">AS13*8*T13*10^-6</f>
        <v>1.3000000000000005</v>
      </c>
      <c r="AU13" s="117">
        <f t="shared" ref="AU13:AU15" si="32">1/(1/AR13+1/AS13)</f>
        <v>1178.7819253438115</v>
      </c>
      <c r="AV13" s="127">
        <f t="shared" ref="AV13:AV15" si="33">AU13*(AJ13+T13)*8*10^-6</f>
        <v>1.4145383104125737</v>
      </c>
      <c r="AW13" s="138">
        <f t="shared" ref="AW13:AW15" si="34">1/(2/AR13+1/AS13)</f>
        <v>946.37223974763424</v>
      </c>
      <c r="AX13" s="127">
        <f t="shared" ref="AX13:AX15" si="35">AW13*(2*AJ13+T13)*8*10^-6</f>
        <v>1.4839116719242904</v>
      </c>
    </row>
    <row r="14" spans="1:50" ht="18">
      <c r="A14" s="134"/>
      <c r="B14" s="91">
        <v>41</v>
      </c>
      <c r="C14" s="91" t="s">
        <v>4</v>
      </c>
      <c r="D14" s="103" t="s">
        <v>9</v>
      </c>
      <c r="E14" s="104">
        <f>1/3</f>
        <v>0.33333333333333331</v>
      </c>
      <c r="F14" s="103" t="s">
        <v>9</v>
      </c>
      <c r="G14" s="104">
        <f>1/3</f>
        <v>0.33333333333333331</v>
      </c>
      <c r="H14" s="91" t="s">
        <v>0</v>
      </c>
      <c r="I14" s="104">
        <f>1/3</f>
        <v>0.33333333333333331</v>
      </c>
      <c r="J14" s="91">
        <f>(E14+G14+I14)/1</f>
        <v>1</v>
      </c>
      <c r="K14" s="91">
        <v>4</v>
      </c>
      <c r="L14" s="96">
        <f t="shared" ref="L14" si="36">1/J14</f>
        <v>1</v>
      </c>
      <c r="M14" s="91">
        <f>4*4*4*16/1024</f>
        <v>1</v>
      </c>
      <c r="N14" s="105">
        <v>1</v>
      </c>
      <c r="O14" s="91">
        <v>32</v>
      </c>
      <c r="P14" s="91">
        <v>41</v>
      </c>
      <c r="Q14" s="91"/>
      <c r="R14" s="91">
        <f>M14*O14</f>
        <v>32</v>
      </c>
      <c r="S14" s="91">
        <v>199</v>
      </c>
      <c r="T14" s="91">
        <v>104</v>
      </c>
      <c r="U14" s="98">
        <f>IF(AA14 &gt; $U$1, $U$1, AA14)</f>
        <v>1.3</v>
      </c>
      <c r="V14" s="91">
        <v>240</v>
      </c>
      <c r="W14" s="92">
        <f>R14/S14*8</f>
        <v>1.2864321608040201</v>
      </c>
      <c r="X14" s="93">
        <f>IF(AA14 &gt; $U$1, $U$1/AA14*Z14, Z14)</f>
        <v>1562.5000000000005</v>
      </c>
      <c r="Y14" s="93">
        <f>16/V14/M14*10^3</f>
        <v>66.666666666666671</v>
      </c>
      <c r="Z14" s="93">
        <f>Y14*R14</f>
        <v>2133.3333333333335</v>
      </c>
      <c r="AA14" s="98">
        <f>T14*10^-6*8*Z14</f>
        <v>1.7749333333333333</v>
      </c>
      <c r="AB14" s="93"/>
      <c r="AC14" s="99" t="s">
        <v>111</v>
      </c>
      <c r="AD14" s="96">
        <f>($AE$1+$AE$2*K14/2)*75%*$W$8/W14</f>
        <v>1.7057142857142857</v>
      </c>
      <c r="AE14" s="96">
        <f>($AE$1+$AE$2*L14/2)*75%*$W$8/Z14</f>
        <v>5.142857142857143E-4</v>
      </c>
      <c r="AF14" s="96">
        <f>($AE$1+$AE$2*M14/2)*75%*$W$8/Y14</f>
        <v>1.6457142857142858E-2</v>
      </c>
      <c r="AH14" s="59">
        <f t="shared" si="23"/>
        <v>2</v>
      </c>
      <c r="AI14" s="59">
        <v>101</v>
      </c>
      <c r="AJ14" s="59">
        <v>46</v>
      </c>
      <c r="AK14" s="59">
        <f t="shared" si="24"/>
        <v>442</v>
      </c>
      <c r="AL14" s="59">
        <f t="shared" si="25"/>
        <v>196</v>
      </c>
      <c r="AM14" s="117">
        <f t="shared" si="26"/>
        <v>1158.3710407239821</v>
      </c>
      <c r="AN14" s="127">
        <f t="shared" si="27"/>
        <v>1.8163257918552038</v>
      </c>
      <c r="AO14" s="117">
        <f t="shared" si="28"/>
        <v>829.08163265306132</v>
      </c>
      <c r="AP14" s="128">
        <f t="shared" si="29"/>
        <v>1.3000000000000003</v>
      </c>
      <c r="AQ14" s="128"/>
      <c r="AR14" s="59">
        <v>4800</v>
      </c>
      <c r="AS14" s="117">
        <f t="shared" si="30"/>
        <v>1562.5000000000005</v>
      </c>
      <c r="AT14" s="137">
        <f t="shared" si="31"/>
        <v>1.3000000000000005</v>
      </c>
      <c r="AU14" s="117">
        <f t="shared" si="32"/>
        <v>1178.7819253438115</v>
      </c>
      <c r="AV14" s="127">
        <f t="shared" si="33"/>
        <v>1.4145383104125737</v>
      </c>
      <c r="AW14" s="138">
        <f t="shared" si="34"/>
        <v>946.37223974763424</v>
      </c>
      <c r="AX14" s="127">
        <f t="shared" si="35"/>
        <v>1.4839116719242904</v>
      </c>
    </row>
    <row r="15" spans="1:50" ht="18">
      <c r="A15" s="89" t="s">
        <v>92</v>
      </c>
      <c r="B15" s="91">
        <v>41</v>
      </c>
      <c r="C15" s="91" t="s">
        <v>4</v>
      </c>
      <c r="D15" s="103" t="s">
        <v>9</v>
      </c>
      <c r="E15" s="104">
        <f>1/3</f>
        <v>0.33333333333333331</v>
      </c>
      <c r="F15" s="103" t="s">
        <v>9</v>
      </c>
      <c r="G15" s="104">
        <f>1/3</f>
        <v>0.33333333333333331</v>
      </c>
      <c r="H15" s="91" t="s">
        <v>0</v>
      </c>
      <c r="I15" s="104">
        <f>1/3</f>
        <v>0.33333333333333331</v>
      </c>
      <c r="J15" s="91">
        <f>(E15+G15+I15)/1</f>
        <v>1</v>
      </c>
      <c r="K15" s="91">
        <v>4</v>
      </c>
      <c r="L15" s="96">
        <f t="shared" ref="L15" si="37">1/J15</f>
        <v>1</v>
      </c>
      <c r="M15" s="91">
        <f>4*4*4*16/1024</f>
        <v>1</v>
      </c>
      <c r="N15" s="105">
        <v>1</v>
      </c>
      <c r="O15" s="91">
        <v>16</v>
      </c>
      <c r="P15" s="91">
        <v>41</v>
      </c>
      <c r="Q15" s="91"/>
      <c r="R15" s="91">
        <f>M15*O15</f>
        <v>16</v>
      </c>
      <c r="S15" s="91">
        <v>110</v>
      </c>
      <c r="T15" s="91">
        <v>104</v>
      </c>
      <c r="U15" s="98">
        <f>IF(AA15 &gt; $U$1, $U$1, AA15)</f>
        <v>0.88746666666666663</v>
      </c>
      <c r="V15" s="91">
        <v>240</v>
      </c>
      <c r="W15" s="92">
        <f>R15/S15*8</f>
        <v>1.1636363636363636</v>
      </c>
      <c r="X15" s="93">
        <f>IF(AA15 &gt; $U$1, $U$1/AA15*Z15, Z15)</f>
        <v>1066.6666666666667</v>
      </c>
      <c r="Y15" s="93">
        <f>16/V15/M15*10^3</f>
        <v>66.666666666666671</v>
      </c>
      <c r="Z15" s="93">
        <f>Y15*R15</f>
        <v>1066.6666666666667</v>
      </c>
      <c r="AA15" s="98">
        <f>T15*10^-6*8*Z15</f>
        <v>0.88746666666666663</v>
      </c>
      <c r="AB15" s="93"/>
      <c r="AC15" s="99" t="s">
        <v>111</v>
      </c>
      <c r="AD15" s="96">
        <f>($AE$1+$AE$2*K15/2)*75%*$W$8/W15</f>
        <v>1.8857142857142859</v>
      </c>
      <c r="AE15" s="96">
        <f>($AE$1+$AE$2*L15/2)*75%*$W$8/Z15</f>
        <v>1.0285714285714286E-3</v>
      </c>
      <c r="AF15" s="96">
        <f>($AE$1+$AE$2*M15/2)*75%*$W$8/Y15</f>
        <v>1.6457142857142858E-2</v>
      </c>
      <c r="AH15" s="59">
        <f t="shared" si="23"/>
        <v>2</v>
      </c>
      <c r="AI15" s="59">
        <v>101</v>
      </c>
      <c r="AJ15" s="59">
        <v>46</v>
      </c>
      <c r="AK15" s="59">
        <f t="shared" si="24"/>
        <v>442</v>
      </c>
      <c r="AL15" s="59">
        <f t="shared" si="25"/>
        <v>196</v>
      </c>
      <c r="AM15" s="117">
        <f t="shared" si="26"/>
        <v>579.18552036199105</v>
      </c>
      <c r="AN15" s="127">
        <f t="shared" si="27"/>
        <v>0.90816289592760191</v>
      </c>
      <c r="AO15" s="117">
        <f t="shared" si="28"/>
        <v>579.18552036199105</v>
      </c>
      <c r="AP15" s="128">
        <f t="shared" si="29"/>
        <v>0.90816289592760191</v>
      </c>
      <c r="AQ15" s="128"/>
      <c r="AR15" s="59">
        <v>4800</v>
      </c>
      <c r="AS15" s="117">
        <f t="shared" si="30"/>
        <v>1066.6666666666667</v>
      </c>
      <c r="AT15" s="137">
        <f t="shared" si="31"/>
        <v>0.88746666666666674</v>
      </c>
      <c r="AU15" s="117">
        <f t="shared" si="32"/>
        <v>872.72727272727275</v>
      </c>
      <c r="AV15" s="127">
        <f t="shared" si="33"/>
        <v>1.0472727272727274</v>
      </c>
      <c r="AW15" s="138">
        <f t="shared" si="34"/>
        <v>738.46153846153845</v>
      </c>
      <c r="AX15" s="127">
        <f t="shared" si="35"/>
        <v>1.1579076923076923</v>
      </c>
    </row>
    <row r="16" spans="1:50">
      <c r="A16" s="89"/>
      <c r="B16" s="91"/>
      <c r="C16" s="91"/>
      <c r="D16" s="103"/>
      <c r="E16" s="104"/>
      <c r="F16" s="103"/>
      <c r="G16" s="104"/>
      <c r="H16" s="91"/>
      <c r="I16" s="104"/>
      <c r="J16" s="91"/>
      <c r="K16" s="91"/>
      <c r="L16" s="96"/>
      <c r="M16" s="91"/>
      <c r="N16" s="105"/>
      <c r="O16" s="91"/>
      <c r="P16" s="91"/>
      <c r="Q16" s="91"/>
      <c r="R16" s="91"/>
      <c r="S16" s="91"/>
      <c r="T16" s="91"/>
      <c r="U16" s="93"/>
      <c r="V16" s="91"/>
      <c r="W16" s="92"/>
      <c r="X16" s="93"/>
      <c r="Y16" s="93"/>
      <c r="Z16" s="93"/>
      <c r="AA16" s="98"/>
      <c r="AB16" s="93"/>
      <c r="AC16" s="93"/>
      <c r="AD16" s="96"/>
      <c r="AE16" s="96"/>
      <c r="AF16" s="96"/>
      <c r="AH16" s="59">
        <f t="shared" si="20"/>
        <v>2</v>
      </c>
    </row>
    <row r="17" spans="1:50">
      <c r="A17" s="132" t="s">
        <v>90</v>
      </c>
      <c r="B17" s="91">
        <v>41</v>
      </c>
      <c r="C17" s="91" t="s">
        <v>4</v>
      </c>
      <c r="D17" s="103" t="s">
        <v>9</v>
      </c>
      <c r="E17" s="104">
        <f>1/3</f>
        <v>0.33333333333333331</v>
      </c>
      <c r="F17" s="103" t="s">
        <v>9</v>
      </c>
      <c r="G17" s="104">
        <f>1/3</f>
        <v>0.33333333333333331</v>
      </c>
      <c r="H17" s="91" t="s">
        <v>0</v>
      </c>
      <c r="I17" s="104">
        <f>1/3</f>
        <v>0.33333333333333331</v>
      </c>
      <c r="J17" s="91">
        <f>(E17+G17+I17)/1</f>
        <v>1</v>
      </c>
      <c r="K17" s="91">
        <v>4</v>
      </c>
      <c r="L17" s="96">
        <f t="shared" ref="L17" si="38">1/J17</f>
        <v>1</v>
      </c>
      <c r="M17" s="91">
        <f>4*4*4*16/1024</f>
        <v>1</v>
      </c>
      <c r="N17" s="105">
        <v>1</v>
      </c>
      <c r="O17" s="91">
        <v>32</v>
      </c>
      <c r="P17" s="91">
        <v>41</v>
      </c>
      <c r="Q17" s="91"/>
      <c r="R17" s="91">
        <f>M17*O17</f>
        <v>32</v>
      </c>
      <c r="S17" s="91">
        <v>199</v>
      </c>
      <c r="T17" s="91">
        <v>104</v>
      </c>
      <c r="U17" s="98">
        <f>IF(AA17 &gt; $U$1, $U$1, AA17)</f>
        <v>1.3</v>
      </c>
      <c r="V17" s="91">
        <v>160</v>
      </c>
      <c r="W17" s="92">
        <f>R17/S17*8</f>
        <v>1.2864321608040201</v>
      </c>
      <c r="X17" s="93">
        <f>IF(AA17 &gt; $U$1, $U$1/AA17*Z17, Z17)</f>
        <v>1562.5000000000002</v>
      </c>
      <c r="Y17" s="93">
        <f>16/V17/M17*10^3</f>
        <v>100</v>
      </c>
      <c r="Z17" s="93">
        <f>Y17*R17</f>
        <v>3200</v>
      </c>
      <c r="AA17" s="98">
        <f>T17*10^-6*8*Z17</f>
        <v>2.6623999999999999</v>
      </c>
      <c r="AB17" s="93"/>
      <c r="AC17" s="98" t="s">
        <v>110</v>
      </c>
      <c r="AD17" s="96">
        <f>($AE$1+$AE$2*K17/2)*75%*$W$8/W17</f>
        <v>1.7057142857142857</v>
      </c>
      <c r="AE17" s="96">
        <f>($AE$1+$AE$2*L17/2)*75%*$W$8/Z17</f>
        <v>3.4285714285714285E-4</v>
      </c>
      <c r="AF17" s="96">
        <f>($AE$1+$AE$2*M17/2)*75%*$W$8/Y17</f>
        <v>1.0971428571428571E-2</v>
      </c>
      <c r="AH17" s="59">
        <f t="shared" ref="AH17:AH20" si="39">AH16</f>
        <v>2</v>
      </c>
      <c r="AI17" s="59">
        <v>101</v>
      </c>
      <c r="AJ17" s="59">
        <v>46</v>
      </c>
      <c r="AK17" s="59">
        <f t="shared" ref="AK17:AK20" si="40">AH17*AI17+$V17</f>
        <v>362</v>
      </c>
      <c r="AL17" s="59">
        <f t="shared" ref="AL17:AL20" si="41">AH17*AJ17+$T17</f>
        <v>196</v>
      </c>
      <c r="AM17" s="117">
        <f t="shared" ref="AM17:AM20" si="42">16/AK17*$O17*10^3</f>
        <v>1414.3646408839779</v>
      </c>
      <c r="AN17" s="127">
        <f t="shared" ref="AN17:AN20" si="43">AM17*8*AL17*10^-6</f>
        <v>2.2177237569060773</v>
      </c>
      <c r="AO17" s="117">
        <f t="shared" ref="AO17:AO20" si="44">IF(AN17 &gt; $U$1, $U$1/AN17*AM17, AM17)</f>
        <v>829.08163265306132</v>
      </c>
      <c r="AP17" s="128">
        <f t="shared" ref="AP17:AP20" si="45">AO17*AL17*8*10^-6</f>
        <v>1.3000000000000003</v>
      </c>
      <c r="AQ17" s="128"/>
      <c r="AR17" s="59">
        <v>4800</v>
      </c>
      <c r="AS17" s="117">
        <f t="shared" ref="AS17:AS20" si="46">X17</f>
        <v>1562.5000000000002</v>
      </c>
      <c r="AT17" s="137">
        <f t="shared" ref="AT17:AT20" si="47">AS17*8*T17*10^-6</f>
        <v>1.3000000000000003</v>
      </c>
      <c r="AU17" s="117">
        <f t="shared" ref="AU17:AU20" si="48">1/(1/AR17+1/AS17)</f>
        <v>1178.7819253438115</v>
      </c>
      <c r="AV17" s="127">
        <f t="shared" ref="AV17:AV20" si="49">AU17*(AJ17+T17)*8*10^-6</f>
        <v>1.4145383104125737</v>
      </c>
      <c r="AW17" s="138">
        <f t="shared" ref="AW17:AW20" si="50">1/(2/AR17+1/AS17)</f>
        <v>946.37223974763401</v>
      </c>
      <c r="AX17" s="127">
        <f t="shared" ref="AX17:AX20" si="51">AW17*(2*AJ17+T17)*8*10^-6</f>
        <v>1.4839116719242902</v>
      </c>
    </row>
    <row r="18" spans="1:50" ht="18">
      <c r="A18" s="134"/>
      <c r="B18" s="91">
        <v>41</v>
      </c>
      <c r="C18" s="91" t="s">
        <v>4</v>
      </c>
      <c r="D18" s="103" t="s">
        <v>9</v>
      </c>
      <c r="E18" s="104">
        <f>1/3</f>
        <v>0.33333333333333331</v>
      </c>
      <c r="F18" s="103" t="s">
        <v>9</v>
      </c>
      <c r="G18" s="104">
        <f>1/3</f>
        <v>0.33333333333333331</v>
      </c>
      <c r="H18" s="91" t="s">
        <v>0</v>
      </c>
      <c r="I18" s="104">
        <f>1/3</f>
        <v>0.33333333333333331</v>
      </c>
      <c r="J18" s="91">
        <f>(E18+G18+I18)/1</f>
        <v>1</v>
      </c>
      <c r="K18" s="91">
        <v>4</v>
      </c>
      <c r="L18" s="96">
        <f t="shared" ref="L18" si="52">1/J18</f>
        <v>1</v>
      </c>
      <c r="M18" s="91">
        <f>4*4*4*16/1024</f>
        <v>1</v>
      </c>
      <c r="N18" s="105">
        <v>1</v>
      </c>
      <c r="O18" s="91">
        <v>32</v>
      </c>
      <c r="P18" s="91">
        <v>41</v>
      </c>
      <c r="Q18" s="91"/>
      <c r="R18" s="91">
        <f>M18*O18</f>
        <v>32</v>
      </c>
      <c r="S18" s="91">
        <v>199</v>
      </c>
      <c r="T18" s="91">
        <v>104</v>
      </c>
      <c r="U18" s="98">
        <f>IF(AA18 &gt; $U$1, $U$1, AA18)</f>
        <v>1.3</v>
      </c>
      <c r="V18" s="91">
        <v>160</v>
      </c>
      <c r="W18" s="92">
        <f>R18/S18*8</f>
        <v>1.2864321608040201</v>
      </c>
      <c r="X18" s="93">
        <f>IF(AA18 &gt; $U$1, $U$1/AA18*Z18, Z18)</f>
        <v>1562.5000000000002</v>
      </c>
      <c r="Y18" s="93">
        <f>16/V18/M18*10^3</f>
        <v>100</v>
      </c>
      <c r="Z18" s="93">
        <f>Y18*R18</f>
        <v>3200</v>
      </c>
      <c r="AA18" s="98">
        <f>T18*10^-6*8*Z18</f>
        <v>2.6623999999999999</v>
      </c>
      <c r="AB18" s="93"/>
      <c r="AC18" s="99" t="s">
        <v>111</v>
      </c>
      <c r="AD18" s="96">
        <f>($AE$1+$AE$2*K18/2)*75%*$W$8/W18</f>
        <v>1.7057142857142857</v>
      </c>
      <c r="AE18" s="96">
        <f>($AE$1+$AE$2*L18/2)*75%*$W$8/Z18</f>
        <v>3.4285714285714285E-4</v>
      </c>
      <c r="AF18" s="96">
        <f>($AE$1+$AE$2*M18/2)*75%*$W$8/Y18</f>
        <v>1.0971428571428571E-2</v>
      </c>
      <c r="AH18" s="59">
        <f t="shared" si="39"/>
        <v>2</v>
      </c>
      <c r="AI18" s="59">
        <v>101</v>
      </c>
      <c r="AJ18" s="59">
        <v>46</v>
      </c>
      <c r="AK18" s="59">
        <f t="shared" si="40"/>
        <v>362</v>
      </c>
      <c r="AL18" s="59">
        <f t="shared" si="41"/>
        <v>196</v>
      </c>
      <c r="AM18" s="117">
        <f t="shared" si="42"/>
        <v>1414.3646408839779</v>
      </c>
      <c r="AN18" s="127">
        <f t="shared" si="43"/>
        <v>2.2177237569060773</v>
      </c>
      <c r="AO18" s="117">
        <f t="shared" si="44"/>
        <v>829.08163265306132</v>
      </c>
      <c r="AP18" s="128">
        <f t="shared" si="45"/>
        <v>1.3000000000000003</v>
      </c>
      <c r="AQ18" s="128"/>
      <c r="AR18" s="59">
        <v>4800</v>
      </c>
      <c r="AS18" s="117">
        <f t="shared" si="46"/>
        <v>1562.5000000000002</v>
      </c>
      <c r="AT18" s="137">
        <f t="shared" si="47"/>
        <v>1.3000000000000003</v>
      </c>
      <c r="AU18" s="117">
        <f t="shared" si="48"/>
        <v>1178.7819253438115</v>
      </c>
      <c r="AV18" s="127">
        <f t="shared" si="49"/>
        <v>1.4145383104125737</v>
      </c>
      <c r="AW18" s="138">
        <f t="shared" si="50"/>
        <v>946.37223974763401</v>
      </c>
      <c r="AX18" s="127">
        <f t="shared" si="51"/>
        <v>1.4839116719242902</v>
      </c>
    </row>
    <row r="19" spans="1:50">
      <c r="A19" s="132" t="s">
        <v>91</v>
      </c>
      <c r="B19" s="91">
        <v>41</v>
      </c>
      <c r="C19" s="91" t="s">
        <v>4</v>
      </c>
      <c r="D19" s="103" t="s">
        <v>9</v>
      </c>
      <c r="E19" s="104">
        <f>1/3</f>
        <v>0.33333333333333331</v>
      </c>
      <c r="F19" s="103" t="s">
        <v>9</v>
      </c>
      <c r="G19" s="104">
        <f>1/3</f>
        <v>0.33333333333333331</v>
      </c>
      <c r="H19" s="91" t="s">
        <v>0</v>
      </c>
      <c r="I19" s="104">
        <f>1/3</f>
        <v>0.33333333333333331</v>
      </c>
      <c r="J19" s="91">
        <f>(E19+G19+I19)/1</f>
        <v>1</v>
      </c>
      <c r="K19" s="91">
        <v>4</v>
      </c>
      <c r="L19" s="96">
        <f t="shared" ref="L19:L20" si="53">1/J19</f>
        <v>1</v>
      </c>
      <c r="M19" s="91">
        <f>4*4*4*16/1024</f>
        <v>1</v>
      </c>
      <c r="N19" s="105">
        <v>1</v>
      </c>
      <c r="O19" s="91">
        <v>16</v>
      </c>
      <c r="P19" s="91">
        <v>41</v>
      </c>
      <c r="Q19" s="91"/>
      <c r="R19" s="91">
        <f>M19*O19</f>
        <v>16</v>
      </c>
      <c r="S19" s="91">
        <v>110</v>
      </c>
      <c r="T19" s="91">
        <v>104</v>
      </c>
      <c r="U19" s="98">
        <f>IF(AA19 &gt; $U$1, $U$1, AA19)</f>
        <v>1.3</v>
      </c>
      <c r="V19" s="91">
        <v>160</v>
      </c>
      <c r="W19" s="92">
        <f>R19/S19*8</f>
        <v>1.1636363636363636</v>
      </c>
      <c r="X19" s="93">
        <f>IF(AA19 &gt; $U$1, $U$1/AA19*Z19, Z19)</f>
        <v>1562.5000000000002</v>
      </c>
      <c r="Y19" s="93">
        <f>16/V19/M19*10^3</f>
        <v>100</v>
      </c>
      <c r="Z19" s="93">
        <f>Y19*R19</f>
        <v>1600</v>
      </c>
      <c r="AA19" s="98">
        <f>T19*10^-6*8*Z19</f>
        <v>1.3311999999999999</v>
      </c>
      <c r="AB19" s="93"/>
      <c r="AC19" s="98" t="s">
        <v>110</v>
      </c>
      <c r="AD19" s="96">
        <f>($AE$1+$AE$2*K19/2)*75%*$W$8/W19</f>
        <v>1.8857142857142859</v>
      </c>
      <c r="AE19" s="96">
        <f>($AE$1+$AE$2*L19/2)*75%*$W$8/Z19</f>
        <v>6.857142857142857E-4</v>
      </c>
      <c r="AF19" s="96">
        <f>($AE$1+$AE$2*M19/2)*75%*$W$8/Y19</f>
        <v>1.0971428571428571E-2</v>
      </c>
      <c r="AH19" s="59">
        <f t="shared" si="39"/>
        <v>2</v>
      </c>
      <c r="AI19" s="59">
        <v>101</v>
      </c>
      <c r="AJ19" s="59">
        <v>46</v>
      </c>
      <c r="AK19" s="59">
        <f t="shared" si="40"/>
        <v>362</v>
      </c>
      <c r="AL19" s="59">
        <f t="shared" si="41"/>
        <v>196</v>
      </c>
      <c r="AM19" s="117">
        <f t="shared" si="42"/>
        <v>707.18232044198896</v>
      </c>
      <c r="AN19" s="127">
        <f t="shared" si="43"/>
        <v>1.1088618784530386</v>
      </c>
      <c r="AO19" s="117">
        <f t="shared" si="44"/>
        <v>707.18232044198896</v>
      </c>
      <c r="AP19" s="128">
        <f t="shared" si="45"/>
        <v>1.1088618784530386</v>
      </c>
      <c r="AQ19" s="128"/>
      <c r="AR19" s="59">
        <v>4800</v>
      </c>
      <c r="AS19" s="117">
        <f t="shared" si="46"/>
        <v>1562.5000000000002</v>
      </c>
      <c r="AT19" s="137">
        <f t="shared" si="47"/>
        <v>1.3000000000000003</v>
      </c>
      <c r="AU19" s="117">
        <f t="shared" si="48"/>
        <v>1178.7819253438115</v>
      </c>
      <c r="AV19" s="127">
        <f t="shared" si="49"/>
        <v>1.4145383104125737</v>
      </c>
      <c r="AW19" s="138">
        <f t="shared" si="50"/>
        <v>946.37223974763401</v>
      </c>
      <c r="AX19" s="127">
        <f t="shared" si="51"/>
        <v>1.4839116719242902</v>
      </c>
    </row>
    <row r="20" spans="1:50" ht="18">
      <c r="A20" s="134"/>
      <c r="B20" s="91">
        <v>41</v>
      </c>
      <c r="C20" s="91" t="s">
        <v>4</v>
      </c>
      <c r="D20" s="103" t="s">
        <v>9</v>
      </c>
      <c r="E20" s="104">
        <f>1/3</f>
        <v>0.33333333333333331</v>
      </c>
      <c r="F20" s="103" t="s">
        <v>9</v>
      </c>
      <c r="G20" s="104">
        <f>1/3</f>
        <v>0.33333333333333331</v>
      </c>
      <c r="H20" s="91" t="s">
        <v>0</v>
      </c>
      <c r="I20" s="104">
        <f>1/3</f>
        <v>0.33333333333333331</v>
      </c>
      <c r="J20" s="91">
        <f>(E20+G20+I20)/1</f>
        <v>1</v>
      </c>
      <c r="K20" s="91">
        <v>4</v>
      </c>
      <c r="L20" s="96">
        <f t="shared" si="53"/>
        <v>1</v>
      </c>
      <c r="M20" s="91">
        <f>4*4*4*16/1024</f>
        <v>1</v>
      </c>
      <c r="N20" s="105">
        <v>1</v>
      </c>
      <c r="O20" s="91">
        <v>16</v>
      </c>
      <c r="P20" s="91">
        <v>41</v>
      </c>
      <c r="Q20" s="91"/>
      <c r="R20" s="91">
        <f>M20*O20</f>
        <v>16</v>
      </c>
      <c r="S20" s="91">
        <v>110</v>
      </c>
      <c r="T20" s="91">
        <v>104</v>
      </c>
      <c r="U20" s="98">
        <f>IF(AA20 &gt; $U$1, $U$1, AA20)</f>
        <v>1.3</v>
      </c>
      <c r="V20" s="91">
        <v>160</v>
      </c>
      <c r="W20" s="92">
        <f>R20/S20*8</f>
        <v>1.1636363636363636</v>
      </c>
      <c r="X20" s="93">
        <f>IF(AA20 &gt; $U$1, $U$1/AA20*Z20, Z20)</f>
        <v>1562.5000000000002</v>
      </c>
      <c r="Y20" s="93">
        <f>16/V20/M20*10^3</f>
        <v>100</v>
      </c>
      <c r="Z20" s="93">
        <f>Y20*R20</f>
        <v>1600</v>
      </c>
      <c r="AA20" s="98">
        <f>T20*10^-6*8*Z20</f>
        <v>1.3311999999999999</v>
      </c>
      <c r="AB20" s="93"/>
      <c r="AC20" s="99" t="s">
        <v>111</v>
      </c>
      <c r="AD20" s="96">
        <f>($AE$1+$AE$2*K20/2)*75%*$W$8/W20</f>
        <v>1.8857142857142859</v>
      </c>
      <c r="AE20" s="96">
        <f>($AE$1+$AE$2*L20/2)*75%*$W$8/Z20</f>
        <v>6.857142857142857E-4</v>
      </c>
      <c r="AF20" s="96">
        <f>($AE$1+$AE$2*M20/2)*75%*$W$8/Y20</f>
        <v>1.0971428571428571E-2</v>
      </c>
      <c r="AH20" s="59">
        <f t="shared" si="39"/>
        <v>2</v>
      </c>
      <c r="AI20" s="59">
        <v>101</v>
      </c>
      <c r="AJ20" s="59">
        <v>46</v>
      </c>
      <c r="AK20" s="59">
        <f t="shared" si="40"/>
        <v>362</v>
      </c>
      <c r="AL20" s="59">
        <f t="shared" si="41"/>
        <v>196</v>
      </c>
      <c r="AM20" s="117">
        <f t="shared" si="42"/>
        <v>707.18232044198896</v>
      </c>
      <c r="AN20" s="127">
        <f t="shared" si="43"/>
        <v>1.1088618784530386</v>
      </c>
      <c r="AO20" s="117">
        <f t="shared" si="44"/>
        <v>707.18232044198896</v>
      </c>
      <c r="AP20" s="128">
        <f t="shared" si="45"/>
        <v>1.1088618784530386</v>
      </c>
      <c r="AQ20" s="128"/>
      <c r="AR20" s="59">
        <v>4800</v>
      </c>
      <c r="AS20" s="117">
        <f t="shared" si="46"/>
        <v>1562.5000000000002</v>
      </c>
      <c r="AT20" s="137">
        <f t="shared" si="47"/>
        <v>1.3000000000000003</v>
      </c>
      <c r="AU20" s="117">
        <f t="shared" si="48"/>
        <v>1178.7819253438115</v>
      </c>
      <c r="AV20" s="127">
        <f t="shared" si="49"/>
        <v>1.4145383104125737</v>
      </c>
      <c r="AW20" s="138">
        <f t="shared" si="50"/>
        <v>946.37223974763401</v>
      </c>
      <c r="AX20" s="127">
        <f t="shared" si="51"/>
        <v>1.4839116719242902</v>
      </c>
    </row>
    <row r="21" spans="1:50">
      <c r="A21" s="89"/>
      <c r="B21" s="91"/>
      <c r="C21" s="91"/>
      <c r="D21" s="103"/>
      <c r="E21" s="104"/>
      <c r="F21" s="103"/>
      <c r="G21" s="104"/>
      <c r="H21" s="91"/>
      <c r="I21" s="104"/>
      <c r="J21" s="91"/>
      <c r="K21" s="91"/>
      <c r="L21" s="96"/>
      <c r="M21" s="91"/>
      <c r="N21" s="105"/>
      <c r="O21" s="91"/>
      <c r="P21" s="91"/>
      <c r="Q21" s="91"/>
      <c r="R21" s="91"/>
      <c r="S21" s="91"/>
      <c r="T21" s="91"/>
      <c r="U21" s="93"/>
      <c r="V21" s="91"/>
      <c r="W21" s="92"/>
      <c r="X21" s="93"/>
      <c r="Y21" s="93"/>
      <c r="Z21" s="93"/>
      <c r="AA21" s="98"/>
      <c r="AB21" s="93"/>
      <c r="AC21" s="93"/>
      <c r="AD21" s="96"/>
      <c r="AE21" s="96"/>
      <c r="AF21" s="96"/>
      <c r="AH21" s="59">
        <f t="shared" si="20"/>
        <v>2</v>
      </c>
    </row>
    <row r="22" spans="1:50">
      <c r="A22" s="132" t="s">
        <v>93</v>
      </c>
      <c r="B22" s="91">
        <v>33.5</v>
      </c>
      <c r="C22" s="91" t="s">
        <v>4</v>
      </c>
      <c r="D22" s="103" t="s">
        <v>9</v>
      </c>
      <c r="E22" s="104">
        <f>1/3</f>
        <v>0.33333333333333331</v>
      </c>
      <c r="F22" s="103" t="s">
        <v>9</v>
      </c>
      <c r="G22" s="104">
        <f>1/3</f>
        <v>0.33333333333333331</v>
      </c>
      <c r="H22" s="91" t="s">
        <v>0</v>
      </c>
      <c r="I22" s="104">
        <f>1/3</f>
        <v>0.33333333333333331</v>
      </c>
      <c r="J22" s="91">
        <f>(E22+G22+I22)/1</f>
        <v>1</v>
      </c>
      <c r="K22" s="91">
        <v>4</v>
      </c>
      <c r="L22" s="96">
        <f t="shared" ref="L22" si="54">1/J22</f>
        <v>1</v>
      </c>
      <c r="M22" s="91">
        <f>4*4*4*16/1024</f>
        <v>1</v>
      </c>
      <c r="N22" s="105">
        <v>1</v>
      </c>
      <c r="O22" s="91">
        <v>32</v>
      </c>
      <c r="P22" s="91">
        <v>33.5</v>
      </c>
      <c r="Q22" s="91">
        <v>46</v>
      </c>
      <c r="R22" s="91">
        <f>M22*O22</f>
        <v>32</v>
      </c>
      <c r="S22" s="91">
        <v>133</v>
      </c>
      <c r="T22" s="91">
        <v>76</v>
      </c>
      <c r="U22" s="98">
        <f>IF(AA22 &gt; $U$1, $U$1, AA22)</f>
        <v>1.2970666666666666</v>
      </c>
      <c r="V22" s="91">
        <v>240</v>
      </c>
      <c r="W22" s="92">
        <f>R22/S22*8</f>
        <v>1.9248120300751879</v>
      </c>
      <c r="X22" s="93">
        <f>IF(AA22 &gt; $U$1, $U$1/AA22*Z22, Z22)</f>
        <v>2133.3333333333335</v>
      </c>
      <c r="Y22" s="93">
        <f>16/V22/M22*10^3</f>
        <v>66.666666666666671</v>
      </c>
      <c r="Z22" s="93">
        <f>Y22*R22</f>
        <v>2133.3333333333335</v>
      </c>
      <c r="AA22" s="98">
        <f>T22*10^-6*8*Z22</f>
        <v>1.2970666666666666</v>
      </c>
      <c r="AB22" s="93"/>
      <c r="AC22" s="98" t="s">
        <v>110</v>
      </c>
      <c r="AD22" s="96">
        <f>($AE$1+$AE$2*K22/2)*75%*$W$8/W22</f>
        <v>1.1400000000000001</v>
      </c>
      <c r="AE22" s="96">
        <f>($AE$1+$AE$2*L22/2)*75%*$W$8/Z22</f>
        <v>5.142857142857143E-4</v>
      </c>
      <c r="AF22" s="96">
        <f>($AE$1+$AE$2*M22/2)*75%*$W$8/Y22</f>
        <v>1.6457142857142858E-2</v>
      </c>
      <c r="AH22" s="59">
        <f t="shared" ref="AH22:AH25" si="55">AH21</f>
        <v>2</v>
      </c>
      <c r="AI22" s="59">
        <v>101</v>
      </c>
      <c r="AJ22" s="59">
        <v>43</v>
      </c>
      <c r="AK22" s="59">
        <f t="shared" ref="AK22:AK25" si="56">AH22*AI22+$V22</f>
        <v>442</v>
      </c>
      <c r="AL22" s="59">
        <f t="shared" ref="AL22:AL25" si="57">AH22*AJ22+$T22</f>
        <v>162</v>
      </c>
      <c r="AM22" s="117">
        <f t="shared" ref="AM22:AM25" si="58">16/AK22*$O22*10^3</f>
        <v>1158.3710407239821</v>
      </c>
      <c r="AN22" s="127">
        <f t="shared" ref="AN22:AN25" si="59">AM22*8*AL22*10^-6</f>
        <v>1.5012488687782808</v>
      </c>
      <c r="AO22" s="117">
        <f t="shared" ref="AO22:AO25" si="60">IF(AN22 &gt; $U$1, $U$1/AN22*AM22, AM22)</f>
        <v>1003.0864197530865</v>
      </c>
      <c r="AP22" s="128">
        <f t="shared" ref="AP22:AP25" si="61">AO22*AL22*8*10^-6</f>
        <v>1.3</v>
      </c>
      <c r="AQ22" s="128"/>
      <c r="AR22" s="59">
        <v>3200</v>
      </c>
      <c r="AS22" s="117">
        <f t="shared" ref="AS22:AS25" si="62">X22</f>
        <v>2133.3333333333335</v>
      </c>
      <c r="AT22" s="137">
        <f t="shared" ref="AT22:AT25" si="63">AS22*8*T22*10^-6</f>
        <v>1.2970666666666666</v>
      </c>
      <c r="AU22" s="117">
        <f t="shared" ref="AU22:AU25" si="64">1/(1/AR22+1/AS22)</f>
        <v>1280</v>
      </c>
      <c r="AV22" s="127">
        <f t="shared" ref="AV22:AV25" si="65">AU22*(AJ22+T22)*8*10^-6</f>
        <v>1.2185599999999999</v>
      </c>
      <c r="AW22" s="138">
        <f t="shared" ref="AW22:AW25" si="66">1/(2/AR22+1/AS22)</f>
        <v>914.28571428571422</v>
      </c>
      <c r="AX22" s="127">
        <f t="shared" ref="AX22:AX25" si="67">AW22*(2*AJ22+T22)*8*10^-6</f>
        <v>1.1849142857142856</v>
      </c>
    </row>
    <row r="23" spans="1:50" ht="18">
      <c r="A23" s="134"/>
      <c r="B23" s="91">
        <v>33.5</v>
      </c>
      <c r="C23" s="91" t="s">
        <v>4</v>
      </c>
      <c r="D23" s="103" t="s">
        <v>9</v>
      </c>
      <c r="E23" s="104">
        <f>1/3</f>
        <v>0.33333333333333331</v>
      </c>
      <c r="F23" s="103" t="s">
        <v>9</v>
      </c>
      <c r="G23" s="104">
        <f>1/3</f>
        <v>0.33333333333333331</v>
      </c>
      <c r="H23" s="91" t="s">
        <v>0</v>
      </c>
      <c r="I23" s="104">
        <f>1/3</f>
        <v>0.33333333333333331</v>
      </c>
      <c r="J23" s="91">
        <f>(E23+G23+I23)/1</f>
        <v>1</v>
      </c>
      <c r="K23" s="91">
        <v>4</v>
      </c>
      <c r="L23" s="96">
        <f t="shared" ref="L23" si="68">1/J23</f>
        <v>1</v>
      </c>
      <c r="M23" s="91">
        <f>4*4*4*16/1024</f>
        <v>1</v>
      </c>
      <c r="N23" s="105">
        <v>1</v>
      </c>
      <c r="O23" s="91">
        <v>32</v>
      </c>
      <c r="P23" s="91">
        <v>33.5</v>
      </c>
      <c r="Q23" s="91">
        <v>46</v>
      </c>
      <c r="R23" s="91">
        <f>M23*O23</f>
        <v>32</v>
      </c>
      <c r="S23" s="91">
        <v>133</v>
      </c>
      <c r="T23" s="91">
        <v>76</v>
      </c>
      <c r="U23" s="98">
        <f>IF(AA23 &gt; $U$1, $U$1, AA23)</f>
        <v>1.2970666666666666</v>
      </c>
      <c r="V23" s="91">
        <v>240</v>
      </c>
      <c r="W23" s="92">
        <f>R23/S23*8</f>
        <v>1.9248120300751879</v>
      </c>
      <c r="X23" s="93">
        <f>IF(AA23 &gt; $U$1, $U$1/AA23*Z23, Z23)</f>
        <v>2133.3333333333335</v>
      </c>
      <c r="Y23" s="93">
        <f>16/V23/M23*10^3</f>
        <v>66.666666666666671</v>
      </c>
      <c r="Z23" s="93">
        <f>Y23*R23</f>
        <v>2133.3333333333335</v>
      </c>
      <c r="AA23" s="98">
        <f>T23*10^-6*8*Z23</f>
        <v>1.2970666666666666</v>
      </c>
      <c r="AB23" s="93"/>
      <c r="AC23" s="99" t="s">
        <v>111</v>
      </c>
      <c r="AD23" s="96">
        <f>($AE$1+$AE$2*K23/2)*75%*$W$8/W23</f>
        <v>1.1400000000000001</v>
      </c>
      <c r="AE23" s="96">
        <f>($AE$1+$AE$2*L23/2)*75%*$W$8/Z23</f>
        <v>5.142857142857143E-4</v>
      </c>
      <c r="AF23" s="96">
        <f>($AE$1+$AE$2*M23/2)*75%*$W$8/Y23</f>
        <v>1.6457142857142858E-2</v>
      </c>
      <c r="AH23" s="59">
        <f t="shared" si="55"/>
        <v>2</v>
      </c>
      <c r="AI23" s="59">
        <v>101</v>
      </c>
      <c r="AJ23" s="59">
        <v>43</v>
      </c>
      <c r="AK23" s="59">
        <f t="shared" si="56"/>
        <v>442</v>
      </c>
      <c r="AL23" s="59">
        <f t="shared" si="57"/>
        <v>162</v>
      </c>
      <c r="AM23" s="117">
        <f t="shared" si="58"/>
        <v>1158.3710407239821</v>
      </c>
      <c r="AN23" s="127">
        <f t="shared" si="59"/>
        <v>1.5012488687782808</v>
      </c>
      <c r="AO23" s="117">
        <f t="shared" si="60"/>
        <v>1003.0864197530865</v>
      </c>
      <c r="AP23" s="128">
        <f t="shared" si="61"/>
        <v>1.3</v>
      </c>
      <c r="AQ23" s="128"/>
      <c r="AR23" s="143">
        <v>3200</v>
      </c>
      <c r="AS23" s="139">
        <f t="shared" si="62"/>
        <v>2133.3333333333335</v>
      </c>
      <c r="AT23" s="140">
        <f t="shared" si="63"/>
        <v>1.2970666666666666</v>
      </c>
      <c r="AU23" s="139">
        <f t="shared" si="64"/>
        <v>1280</v>
      </c>
      <c r="AV23" s="141">
        <f t="shared" si="65"/>
        <v>1.2185599999999999</v>
      </c>
      <c r="AW23" s="142">
        <f t="shared" si="66"/>
        <v>914.28571428571422</v>
      </c>
      <c r="AX23" s="141">
        <f t="shared" si="67"/>
        <v>1.1849142857142856</v>
      </c>
    </row>
    <row r="24" spans="1:50">
      <c r="A24" s="132" t="s">
        <v>94</v>
      </c>
      <c r="B24" s="91">
        <v>33.5</v>
      </c>
      <c r="C24" s="91" t="s">
        <v>4</v>
      </c>
      <c r="D24" s="103" t="s">
        <v>9</v>
      </c>
      <c r="E24" s="104">
        <f>1/3</f>
        <v>0.33333333333333331</v>
      </c>
      <c r="F24" s="103" t="s">
        <v>9</v>
      </c>
      <c r="G24" s="104">
        <f>1/3</f>
        <v>0.33333333333333331</v>
      </c>
      <c r="H24" s="91" t="s">
        <v>0</v>
      </c>
      <c r="I24" s="104">
        <f>1/3</f>
        <v>0.33333333333333331</v>
      </c>
      <c r="J24" s="91">
        <f>(E24+G24+I24)/1</f>
        <v>1</v>
      </c>
      <c r="K24" s="91">
        <v>4</v>
      </c>
      <c r="L24" s="96">
        <f t="shared" ref="L24" si="69">1/J24</f>
        <v>1</v>
      </c>
      <c r="M24" s="91">
        <f>4*4*4*16/1024</f>
        <v>1</v>
      </c>
      <c r="N24" s="105">
        <v>1</v>
      </c>
      <c r="O24" s="91">
        <v>32</v>
      </c>
      <c r="P24" s="91">
        <v>33.5</v>
      </c>
      <c r="Q24" s="91">
        <v>46</v>
      </c>
      <c r="R24" s="91">
        <f>M24*O24</f>
        <v>32</v>
      </c>
      <c r="S24" s="91">
        <v>133</v>
      </c>
      <c r="T24" s="91">
        <v>76</v>
      </c>
      <c r="U24" s="98">
        <f>IF(AA24 &gt; $U$1, $U$1, AA24)</f>
        <v>1.3</v>
      </c>
      <c r="V24" s="91">
        <v>185</v>
      </c>
      <c r="W24" s="92">
        <f>R24/S24*8</f>
        <v>1.9248120300751879</v>
      </c>
      <c r="X24" s="93">
        <f>IF(AA24 &gt; $U$1, $U$1/AA24*Z24, Z24)</f>
        <v>2138.1578947368421</v>
      </c>
      <c r="Y24" s="93">
        <f>16/V24/M24*10^3</f>
        <v>86.486486486486484</v>
      </c>
      <c r="Z24" s="93">
        <f>Y24*R24</f>
        <v>2767.5675675675675</v>
      </c>
      <c r="AA24" s="98">
        <f>T24*10^-6*8*Z24</f>
        <v>1.6826810810810808</v>
      </c>
      <c r="AB24" s="93"/>
      <c r="AC24" s="98" t="s">
        <v>110</v>
      </c>
      <c r="AD24" s="96">
        <f>($AE$1+$AE$2*K24/2)*75%*$W$8/W24</f>
        <v>1.1400000000000001</v>
      </c>
      <c r="AE24" s="96">
        <f>($AE$1+$AE$2*L24/2)*75%*$W$8/Z24</f>
        <v>3.9642857142857145E-4</v>
      </c>
      <c r="AF24" s="96">
        <f>($AE$1+$AE$2*M24/2)*75%*$W$8/Y24</f>
        <v>1.2685714285714286E-2</v>
      </c>
      <c r="AH24" s="59">
        <f t="shared" si="55"/>
        <v>2</v>
      </c>
      <c r="AI24" s="59">
        <v>101</v>
      </c>
      <c r="AJ24" s="59">
        <v>43</v>
      </c>
      <c r="AK24" s="59">
        <f t="shared" si="56"/>
        <v>387</v>
      </c>
      <c r="AL24" s="59">
        <f t="shared" si="57"/>
        <v>162</v>
      </c>
      <c r="AM24" s="117">
        <f t="shared" si="58"/>
        <v>1322.9974160206718</v>
      </c>
      <c r="AN24" s="127">
        <f t="shared" si="59"/>
        <v>1.7146046511627906</v>
      </c>
      <c r="AO24" s="117">
        <f t="shared" si="60"/>
        <v>1003.0864197530865</v>
      </c>
      <c r="AP24" s="128">
        <f t="shared" si="61"/>
        <v>1.3</v>
      </c>
      <c r="AQ24" s="128"/>
      <c r="AR24" s="143">
        <v>3200</v>
      </c>
      <c r="AS24" s="139">
        <f t="shared" si="62"/>
        <v>2138.1578947368421</v>
      </c>
      <c r="AT24" s="140">
        <f t="shared" si="63"/>
        <v>1.3</v>
      </c>
      <c r="AU24" s="139">
        <f t="shared" si="64"/>
        <v>1281.7352723687454</v>
      </c>
      <c r="AV24" s="141">
        <f t="shared" si="65"/>
        <v>1.2202119792950457</v>
      </c>
      <c r="AW24" s="142">
        <f t="shared" si="66"/>
        <v>915.17071453713481</v>
      </c>
      <c r="AX24" s="141">
        <f t="shared" si="67"/>
        <v>1.1860612460401267</v>
      </c>
    </row>
    <row r="25" spans="1:50" ht="18">
      <c r="A25" s="134"/>
      <c r="B25" s="91">
        <v>33.5</v>
      </c>
      <c r="C25" s="91" t="s">
        <v>4</v>
      </c>
      <c r="D25" s="103" t="s">
        <v>9</v>
      </c>
      <c r="E25" s="104">
        <f>1/3</f>
        <v>0.33333333333333331</v>
      </c>
      <c r="F25" s="103" t="s">
        <v>9</v>
      </c>
      <c r="G25" s="104">
        <f>1/3</f>
        <v>0.33333333333333331</v>
      </c>
      <c r="H25" s="91" t="s">
        <v>0</v>
      </c>
      <c r="I25" s="104">
        <f>1/3</f>
        <v>0.33333333333333331</v>
      </c>
      <c r="J25" s="91">
        <f>(E25+G25+I25)/1</f>
        <v>1</v>
      </c>
      <c r="K25" s="91">
        <v>4</v>
      </c>
      <c r="L25" s="96">
        <f t="shared" ref="L25" si="70">1/J25</f>
        <v>1</v>
      </c>
      <c r="M25" s="91">
        <f>4*4*4*16/1024</f>
        <v>1</v>
      </c>
      <c r="N25" s="105">
        <v>1</v>
      </c>
      <c r="O25" s="91">
        <v>32</v>
      </c>
      <c r="P25" s="91">
        <v>33.5</v>
      </c>
      <c r="Q25" s="91">
        <v>46</v>
      </c>
      <c r="R25" s="91">
        <f>M25*O25</f>
        <v>32</v>
      </c>
      <c r="S25" s="91">
        <v>133</v>
      </c>
      <c r="T25" s="91">
        <v>76</v>
      </c>
      <c r="U25" s="98">
        <f>IF(AA25 &gt; $U$1, $U$1, AA25)</f>
        <v>1.3</v>
      </c>
      <c r="V25" s="91">
        <v>160</v>
      </c>
      <c r="W25" s="92">
        <f>R25/S25*8</f>
        <v>1.9248120300751879</v>
      </c>
      <c r="X25" s="93">
        <f>IF(AA25 &gt; $U$1, $U$1/AA25*Z25, Z25)</f>
        <v>2138.1578947368425</v>
      </c>
      <c r="Y25" s="93">
        <f>16/V25/M25*10^3</f>
        <v>100</v>
      </c>
      <c r="Z25" s="93">
        <f>Y25*R25</f>
        <v>3200</v>
      </c>
      <c r="AA25" s="98">
        <f>T25*10^-6*8*Z25</f>
        <v>1.9455999999999998</v>
      </c>
      <c r="AB25" s="93"/>
      <c r="AC25" s="99" t="s">
        <v>111</v>
      </c>
      <c r="AD25" s="96">
        <f>($AE$1+$AE$2*K25/2)*75%*$W$8/W25</f>
        <v>1.1400000000000001</v>
      </c>
      <c r="AE25" s="96">
        <f>($AE$1+$AE$2*L25/2)*75%*$W$8/Z25</f>
        <v>3.4285714285714285E-4</v>
      </c>
      <c r="AF25" s="96">
        <f>($AE$1+$AE$2*M25/2)*75%*$W$8/Y25</f>
        <v>1.0971428571428571E-2</v>
      </c>
      <c r="AH25" s="59">
        <f t="shared" si="55"/>
        <v>2</v>
      </c>
      <c r="AI25" s="59">
        <v>101</v>
      </c>
      <c r="AJ25" s="59">
        <v>43</v>
      </c>
      <c r="AK25" s="59">
        <f t="shared" si="56"/>
        <v>362</v>
      </c>
      <c r="AL25" s="59">
        <f t="shared" si="57"/>
        <v>162</v>
      </c>
      <c r="AM25" s="117">
        <f t="shared" si="58"/>
        <v>1414.3646408839779</v>
      </c>
      <c r="AN25" s="127">
        <f t="shared" si="59"/>
        <v>1.8330165745856353</v>
      </c>
      <c r="AO25" s="117">
        <f t="shared" si="60"/>
        <v>1003.0864197530865</v>
      </c>
      <c r="AP25" s="128">
        <f t="shared" si="61"/>
        <v>1.3</v>
      </c>
      <c r="AQ25" s="128"/>
      <c r="AR25" s="59">
        <v>3200</v>
      </c>
      <c r="AS25" s="117">
        <f t="shared" si="62"/>
        <v>2138.1578947368425</v>
      </c>
      <c r="AT25" s="137">
        <f t="shared" si="63"/>
        <v>1.3000000000000003</v>
      </c>
      <c r="AU25" s="117">
        <f t="shared" si="64"/>
        <v>1281.7352723687457</v>
      </c>
      <c r="AV25" s="127">
        <f t="shared" si="65"/>
        <v>1.2202119792950459</v>
      </c>
      <c r="AW25" s="138">
        <f t="shared" si="66"/>
        <v>915.17071453713493</v>
      </c>
      <c r="AX25" s="127">
        <f t="shared" si="67"/>
        <v>1.1860612460401267</v>
      </c>
    </row>
    <row r="26" spans="1:50">
      <c r="A26" s="89"/>
      <c r="B26" s="91"/>
      <c r="C26" s="91"/>
      <c r="D26" s="103"/>
      <c r="E26" s="104"/>
      <c r="F26" s="103"/>
      <c r="G26" s="104"/>
      <c r="H26" s="91"/>
      <c r="I26" s="104"/>
      <c r="J26" s="91"/>
      <c r="K26" s="91"/>
      <c r="L26" s="96"/>
      <c r="M26" s="91"/>
      <c r="N26" s="105"/>
      <c r="O26" s="91"/>
      <c r="P26" s="91"/>
      <c r="Q26" s="91"/>
      <c r="R26" s="91"/>
      <c r="S26" s="91"/>
      <c r="T26" s="91"/>
      <c r="U26" s="93"/>
      <c r="V26" s="91"/>
      <c r="W26" s="92"/>
      <c r="X26" s="93"/>
      <c r="Y26" s="91"/>
      <c r="Z26" s="93"/>
      <c r="AA26" s="93"/>
      <c r="AB26" s="93"/>
      <c r="AC26" s="93"/>
      <c r="AD26" s="96"/>
      <c r="AE26" s="96"/>
      <c r="AF26" s="97"/>
      <c r="AH26" s="59">
        <f t="shared" si="20"/>
        <v>2</v>
      </c>
    </row>
    <row r="27" spans="1:50">
      <c r="A27" s="132" t="s">
        <v>95</v>
      </c>
      <c r="B27" s="91">
        <v>28</v>
      </c>
      <c r="C27" s="91" t="s">
        <v>4</v>
      </c>
      <c r="D27" s="103" t="s">
        <v>9</v>
      </c>
      <c r="E27" s="104">
        <f>1/3</f>
        <v>0.33333333333333331</v>
      </c>
      <c r="F27" s="103" t="s">
        <v>9</v>
      </c>
      <c r="G27" s="104">
        <f>1/3</f>
        <v>0.33333333333333331</v>
      </c>
      <c r="H27" s="91" t="s">
        <v>0</v>
      </c>
      <c r="I27" s="104">
        <f>1/3</f>
        <v>0.33333333333333331</v>
      </c>
      <c r="J27" s="91">
        <f>(E27+G27+I27)/1</f>
        <v>1</v>
      </c>
      <c r="K27" s="91">
        <v>4</v>
      </c>
      <c r="L27" s="96">
        <f t="shared" ref="L27" si="71">1/J27</f>
        <v>1</v>
      </c>
      <c r="M27" s="91">
        <f>4*4*4*16/1024</f>
        <v>1</v>
      </c>
      <c r="N27" s="105">
        <v>1</v>
      </c>
      <c r="O27" s="91">
        <v>64</v>
      </c>
      <c r="P27" s="91">
        <v>33.5</v>
      </c>
      <c r="Q27" s="91">
        <v>32</v>
      </c>
      <c r="R27" s="91">
        <f>M27*O27</f>
        <v>64</v>
      </c>
      <c r="S27" s="91">
        <v>190</v>
      </c>
      <c r="T27" s="91">
        <v>55</v>
      </c>
      <c r="U27" s="98">
        <f>IF(AA27 &gt; $U$1, $U$1, AA27)</f>
        <v>1.3</v>
      </c>
      <c r="V27" s="91">
        <v>240</v>
      </c>
      <c r="W27" s="92">
        <f>R27/S27*8</f>
        <v>2.6947368421052631</v>
      </c>
      <c r="X27" s="93">
        <f>IF(AA27 &gt; $U$1, $U$1/AA27*Z27, Z27)</f>
        <v>2954.545454545455</v>
      </c>
      <c r="Y27" s="93">
        <f>16/V27/M27*10^3</f>
        <v>66.666666666666671</v>
      </c>
      <c r="Z27" s="93">
        <f>Y27*R27</f>
        <v>4266.666666666667</v>
      </c>
      <c r="AA27" s="98">
        <f>T27*10^-6*8*Z27</f>
        <v>1.8773333333333333</v>
      </c>
      <c r="AB27" s="93"/>
      <c r="AC27" s="98"/>
      <c r="AD27" s="96">
        <f>($AE$1+$AE$2*K27/2)*75%*$W$8/W27</f>
        <v>0.81428571428571439</v>
      </c>
      <c r="AE27" s="96">
        <f>($AE$1+$AE$2*L27/2)*75%*$W$8/Z27</f>
        <v>2.5714285714285715E-4</v>
      </c>
      <c r="AF27" s="96">
        <f>($AE$1+$AE$2*M27/2)*75%*$W$8/Y27</f>
        <v>1.6457142857142858E-2</v>
      </c>
      <c r="AH27" s="59">
        <f t="shared" ref="AH27" si="72">AH26</f>
        <v>2</v>
      </c>
      <c r="AI27" s="59">
        <v>101</v>
      </c>
      <c r="AJ27" s="59">
        <v>30</v>
      </c>
      <c r="AK27" s="59">
        <f t="shared" ref="AK27" si="73">AH27*AI27+$V27</f>
        <v>442</v>
      </c>
      <c r="AL27" s="59">
        <f t="shared" ref="AL27" si="74">AH27*AJ27+$T27</f>
        <v>115</v>
      </c>
      <c r="AM27" s="117">
        <f t="shared" ref="AM27" si="75">16/AK27*$O27*10^3</f>
        <v>2316.7420814479642</v>
      </c>
      <c r="AN27" s="127">
        <f t="shared" ref="AN27" si="76">AM27*8*AL27*10^-6</f>
        <v>2.1314027149321269</v>
      </c>
      <c r="AO27" s="117">
        <f t="shared" ref="AO27" si="77">IF(AN27 &gt; $U$1, $U$1/AN27*AM27, AM27)</f>
        <v>1413.04347826087</v>
      </c>
      <c r="AP27" s="128">
        <f>AO27*AL27*8*10^-6</f>
        <v>1.3000000000000005</v>
      </c>
      <c r="AQ27" s="128"/>
      <c r="AR27" s="59">
        <v>4800</v>
      </c>
      <c r="AS27" s="117">
        <f t="shared" ref="AS27" si="78">X27</f>
        <v>2954.545454545455</v>
      </c>
      <c r="AT27" s="137">
        <f t="shared" ref="AT27" si="79">AS27*8*T27*10^-6</f>
        <v>1.3000000000000003</v>
      </c>
      <c r="AU27" s="117">
        <f t="shared" ref="AU27" si="80">1/(1/AR27+1/AS27)</f>
        <v>1828.83939038687</v>
      </c>
      <c r="AV27" s="127">
        <f t="shared" ref="AV27" si="81">AU27*(AJ27+T27)*8*10^-6</f>
        <v>1.2436107854630716</v>
      </c>
      <c r="AW27" s="138">
        <f t="shared" ref="AW27" si="82">1/(2/AR27+1/AS27)</f>
        <v>1324.2784380305604</v>
      </c>
      <c r="AX27" s="127">
        <f t="shared" ref="AX27" si="83">AW27*(2*AJ27+T27)*8*10^-6</f>
        <v>1.2183361629881155</v>
      </c>
    </row>
    <row r="28" spans="1:50">
      <c r="A28" s="134"/>
      <c r="B28" s="91"/>
      <c r="C28" s="91"/>
      <c r="D28" s="103"/>
      <c r="E28" s="104"/>
      <c r="F28" s="103"/>
      <c r="G28" s="104"/>
      <c r="H28" s="91"/>
      <c r="I28" s="104"/>
      <c r="J28" s="91"/>
      <c r="K28" s="91"/>
      <c r="L28" s="96"/>
      <c r="M28" s="91"/>
      <c r="N28" s="105"/>
      <c r="O28" s="91"/>
      <c r="P28" s="91"/>
      <c r="Q28" s="91"/>
      <c r="R28" s="91"/>
      <c r="S28" s="91"/>
      <c r="T28" s="91"/>
      <c r="U28" s="98"/>
      <c r="V28" s="91"/>
      <c r="W28" s="92"/>
      <c r="X28" s="93"/>
      <c r="Y28" s="93"/>
      <c r="Z28" s="93"/>
      <c r="AA28" s="98"/>
      <c r="AB28" s="93"/>
      <c r="AC28" s="98"/>
      <c r="AD28" s="96"/>
      <c r="AE28" s="96"/>
      <c r="AF28" s="96"/>
      <c r="AH28" s="59">
        <f t="shared" si="20"/>
        <v>2</v>
      </c>
      <c r="AP28" s="128"/>
      <c r="AQ28" s="128"/>
    </row>
    <row r="29" spans="1:50">
      <c r="A29" s="89" t="s">
        <v>96</v>
      </c>
      <c r="B29" s="91">
        <v>28</v>
      </c>
      <c r="C29" s="91" t="s">
        <v>4</v>
      </c>
      <c r="D29" s="103" t="s">
        <v>9</v>
      </c>
      <c r="E29" s="104">
        <f>1/3</f>
        <v>0.33333333333333331</v>
      </c>
      <c r="F29" s="103" t="s">
        <v>9</v>
      </c>
      <c r="G29" s="104">
        <f>1/3</f>
        <v>0.33333333333333331</v>
      </c>
      <c r="H29" s="91" t="s">
        <v>0</v>
      </c>
      <c r="I29" s="104">
        <f>1/3</f>
        <v>0.33333333333333331</v>
      </c>
      <c r="J29" s="91">
        <f>(E29+G29+I29)/1</f>
        <v>1</v>
      </c>
      <c r="K29" s="91">
        <v>4</v>
      </c>
      <c r="L29" s="96">
        <f t="shared" ref="L29" si="84">1/J29</f>
        <v>1</v>
      </c>
      <c r="M29" s="91">
        <f>4*4*4*16/1024</f>
        <v>1</v>
      </c>
      <c r="N29" s="105">
        <v>1</v>
      </c>
      <c r="O29" s="91">
        <v>32</v>
      </c>
      <c r="P29" s="91">
        <v>33.5</v>
      </c>
      <c r="Q29" s="91">
        <v>32</v>
      </c>
      <c r="R29" s="91">
        <f>M29*O29</f>
        <v>32</v>
      </c>
      <c r="S29" s="91">
        <v>103</v>
      </c>
      <c r="T29" s="91">
        <v>55</v>
      </c>
      <c r="U29" s="98">
        <f>IF(AA29 &gt; $U$1, $U$1, AA29)</f>
        <v>0.93866666666666665</v>
      </c>
      <c r="V29" s="91">
        <v>240</v>
      </c>
      <c r="W29" s="92">
        <f>R29/S29*8</f>
        <v>2.4854368932038833</v>
      </c>
      <c r="X29" s="93">
        <f>IF(AA29 &gt; $U$1, $U$1/AA29*Z29, Z29)</f>
        <v>2133.3333333333335</v>
      </c>
      <c r="Y29" s="93">
        <f>16/V29/M29*10^3</f>
        <v>66.666666666666671</v>
      </c>
      <c r="Z29" s="93">
        <f>Y29*R29</f>
        <v>2133.3333333333335</v>
      </c>
      <c r="AA29" s="98">
        <f>T29*10^-6*8*Z29</f>
        <v>0.93866666666666665</v>
      </c>
      <c r="AB29" s="93"/>
      <c r="AC29" s="98"/>
      <c r="AD29" s="96">
        <f>($AE$1+$AE$2*K29/2)*75%*$W$8/W29</f>
        <v>0.88285714285714301</v>
      </c>
      <c r="AE29" s="96">
        <f>($AE$1+$AE$2*L29/2)*75%*$W$8/Z29</f>
        <v>5.142857142857143E-4</v>
      </c>
      <c r="AF29" s="96">
        <f>($AE$1+$AE$2*M29/2)*75%*$W$8/Y29</f>
        <v>1.6457142857142858E-2</v>
      </c>
      <c r="AH29" s="59">
        <f t="shared" ref="AH29" si="85">AH28</f>
        <v>2</v>
      </c>
      <c r="AI29" s="59">
        <v>101</v>
      </c>
      <c r="AJ29" s="59">
        <v>30</v>
      </c>
      <c r="AK29" s="59">
        <f t="shared" ref="AK29" si="86">AH29*AI29+$V29</f>
        <v>442</v>
      </c>
      <c r="AL29" s="59">
        <f t="shared" ref="AL29" si="87">AH29*AJ29+$T29</f>
        <v>115</v>
      </c>
      <c r="AM29" s="117">
        <f t="shared" ref="AM29" si="88">16/AK29*$O29*10^3</f>
        <v>1158.3710407239821</v>
      </c>
      <c r="AN29" s="127">
        <f t="shared" ref="AN29" si="89">AM29*8*AL29*10^-6</f>
        <v>1.0657013574660634</v>
      </c>
      <c r="AO29" s="117">
        <f t="shared" ref="AO29" si="90">IF(AN29 &gt; $U$1, $U$1/AN29*AM29, AM29)</f>
        <v>1158.3710407239821</v>
      </c>
      <c r="AP29" s="128">
        <f>AO29*AL29*8*10^-6</f>
        <v>1.0657013574660634</v>
      </c>
      <c r="AQ29" s="128"/>
      <c r="AR29" s="59">
        <v>4800</v>
      </c>
      <c r="AS29" s="117">
        <f t="shared" ref="AS29" si="91">X29</f>
        <v>2133.3333333333335</v>
      </c>
      <c r="AT29" s="137">
        <f t="shared" ref="AT29" si="92">AS29*8*T29*10^-6</f>
        <v>0.93866666666666665</v>
      </c>
      <c r="AU29" s="117">
        <f t="shared" ref="AU29" si="93">1/(1/AR29+1/AS29)</f>
        <v>1476.9230769230769</v>
      </c>
      <c r="AV29" s="127">
        <f t="shared" ref="AV29" si="94">AU29*(AJ29+T29)*8*10^-6</f>
        <v>1.0043076923076921</v>
      </c>
      <c r="AW29" s="138">
        <f t="shared" ref="AW29" si="95">1/(2/AR29+1/AS29)</f>
        <v>1129.4117647058822</v>
      </c>
      <c r="AX29" s="127">
        <f t="shared" ref="AX29" si="96">AW29*(2*AJ29+T29)*8*10^-6</f>
        <v>1.0390588235294116</v>
      </c>
    </row>
    <row r="30" spans="1:50">
      <c r="A30" s="89"/>
      <c r="B30" s="91"/>
      <c r="C30" s="91"/>
      <c r="D30" s="103"/>
      <c r="E30" s="104"/>
      <c r="F30" s="103"/>
      <c r="G30" s="104"/>
      <c r="H30" s="91"/>
      <c r="I30" s="104"/>
      <c r="J30" s="91"/>
      <c r="K30" s="91"/>
      <c r="L30" s="96"/>
      <c r="M30" s="91"/>
      <c r="N30" s="105"/>
      <c r="O30" s="91"/>
      <c r="P30" s="91"/>
      <c r="Q30" s="91"/>
      <c r="R30" s="91"/>
      <c r="S30" s="91"/>
      <c r="T30" s="91"/>
      <c r="U30" s="93"/>
      <c r="V30" s="91"/>
      <c r="W30" s="92"/>
      <c r="X30" s="93"/>
      <c r="Y30" s="91"/>
      <c r="Z30" s="93"/>
      <c r="AA30" s="93"/>
      <c r="AB30" s="93"/>
      <c r="AC30" s="93"/>
      <c r="AD30" s="96"/>
      <c r="AE30" s="96"/>
      <c r="AF30" s="97"/>
      <c r="AH30" s="59">
        <f t="shared" si="20"/>
        <v>2</v>
      </c>
    </row>
    <row r="31" spans="1:50">
      <c r="A31" s="132" t="s">
        <v>97</v>
      </c>
      <c r="B31" s="91">
        <v>28</v>
      </c>
      <c r="C31" s="91" t="s">
        <v>4</v>
      </c>
      <c r="D31" s="103" t="s">
        <v>9</v>
      </c>
      <c r="E31" s="104">
        <f>1/3</f>
        <v>0.33333333333333331</v>
      </c>
      <c r="F31" s="103" t="s">
        <v>9</v>
      </c>
      <c r="G31" s="104">
        <f>1/3</f>
        <v>0.33333333333333331</v>
      </c>
      <c r="H31" s="91" t="s">
        <v>0</v>
      </c>
      <c r="I31" s="104">
        <f>1/3</f>
        <v>0.33333333333333331</v>
      </c>
      <c r="J31" s="91">
        <f>(E31+G31+I31)/1</f>
        <v>1</v>
      </c>
      <c r="K31" s="91">
        <v>4</v>
      </c>
      <c r="L31" s="96">
        <f t="shared" ref="L31:L33" si="97">1/J31</f>
        <v>1</v>
      </c>
      <c r="M31" s="91">
        <f>4*4*4*16/1024</f>
        <v>1</v>
      </c>
      <c r="N31" s="105">
        <v>1</v>
      </c>
      <c r="O31" s="91">
        <v>64</v>
      </c>
      <c r="P31" s="91">
        <v>33.5</v>
      </c>
      <c r="Q31" s="91">
        <v>32</v>
      </c>
      <c r="R31" s="91">
        <f>M31*O31</f>
        <v>64</v>
      </c>
      <c r="S31" s="91">
        <v>190</v>
      </c>
      <c r="T31" s="91">
        <v>55</v>
      </c>
      <c r="U31" s="98">
        <f>IF(AA31 &gt; $U$1, $U$1, AA31)</f>
        <v>1.3</v>
      </c>
      <c r="V31" s="91">
        <v>160</v>
      </c>
      <c r="W31" s="92">
        <f>R31/S31*8</f>
        <v>2.6947368421052631</v>
      </c>
      <c r="X31" s="93">
        <f>IF(AA31 &gt; $U$1, $U$1/AA31*Z31, Z31)</f>
        <v>2954.5454545454545</v>
      </c>
      <c r="Y31" s="93">
        <f>16/V31/M31*10^3</f>
        <v>100</v>
      </c>
      <c r="Z31" s="93">
        <f>Y31*R31</f>
        <v>6400</v>
      </c>
      <c r="AA31" s="98">
        <f>T31*10^-6*8*Z31</f>
        <v>2.8159999999999998</v>
      </c>
      <c r="AB31" s="93"/>
      <c r="AC31" s="98"/>
      <c r="AD31" s="96">
        <f>($AE$1+$AE$2*K31/2)*75%*$W$8/W31</f>
        <v>0.81428571428571439</v>
      </c>
      <c r="AE31" s="96">
        <f>($AE$1+$AE$2*L31/2)*75%*$W$8/Z31</f>
        <v>1.7142857142857143E-4</v>
      </c>
      <c r="AF31" s="96">
        <f>($AE$1+$AE$2*M31/2)*75%*$W$8/Y31</f>
        <v>1.0971428571428571E-2</v>
      </c>
      <c r="AH31" s="59">
        <f t="shared" ref="AH31" si="98">AH30</f>
        <v>2</v>
      </c>
      <c r="AI31" s="59">
        <v>101</v>
      </c>
      <c r="AJ31" s="59">
        <v>30</v>
      </c>
      <c r="AK31" s="59">
        <f t="shared" ref="AK31" si="99">AH31*AI31+$V31</f>
        <v>362</v>
      </c>
      <c r="AL31" s="59">
        <f t="shared" ref="AL31" si="100">AH31*AJ31+$T31</f>
        <v>115</v>
      </c>
      <c r="AM31" s="117">
        <f t="shared" ref="AM31" si="101">16/AK31*$O31*10^3</f>
        <v>2828.7292817679559</v>
      </c>
      <c r="AN31" s="127">
        <f t="shared" ref="AN31" si="102">AM31*8*AL31*10^-6</f>
        <v>2.6024309392265192</v>
      </c>
      <c r="AO31" s="117">
        <f t="shared" ref="AO31" si="103">IF(AN31 &gt; $U$1, $U$1/AN31*AM31, AM31)</f>
        <v>1413.0434782608697</v>
      </c>
      <c r="AP31" s="128">
        <f>AO31*AL31*8*10^-6</f>
        <v>1.3000000000000003</v>
      </c>
      <c r="AQ31" s="128"/>
      <c r="AR31" s="59">
        <v>4800</v>
      </c>
      <c r="AS31" s="117">
        <f t="shared" ref="AS31" si="104">X31</f>
        <v>2954.5454545454545</v>
      </c>
      <c r="AT31" s="137">
        <f t="shared" ref="AT31" si="105">AS31*8*T31*10^-6</f>
        <v>1.3</v>
      </c>
      <c r="AU31" s="117">
        <f t="shared" ref="AU31" si="106">1/(1/AR31+1/AS31)</f>
        <v>1828.8393903868698</v>
      </c>
      <c r="AV31" s="127">
        <f t="shared" ref="AV31" si="107">AU31*(AJ31+T31)*8*10^-6</f>
        <v>1.2436107854630714</v>
      </c>
      <c r="AW31" s="138">
        <f t="shared" ref="AW31" si="108">1/(2/AR31+1/AS31)</f>
        <v>1324.2784380305604</v>
      </c>
      <c r="AX31" s="127">
        <f t="shared" ref="AX31" si="109">AW31*(2*AJ31+T31)*8*10^-6</f>
        <v>1.2183361629881155</v>
      </c>
    </row>
    <row r="32" spans="1:50">
      <c r="A32" s="134"/>
      <c r="B32" s="91"/>
      <c r="C32" s="91"/>
      <c r="D32" s="103"/>
      <c r="E32" s="104"/>
      <c r="F32" s="103"/>
      <c r="G32" s="104"/>
      <c r="H32" s="91"/>
      <c r="I32" s="104"/>
      <c r="J32" s="91"/>
      <c r="K32" s="91"/>
      <c r="L32" s="96"/>
      <c r="M32" s="91"/>
      <c r="N32" s="105"/>
      <c r="O32" s="91"/>
      <c r="P32" s="91"/>
      <c r="Q32" s="91"/>
      <c r="R32" s="91"/>
      <c r="S32" s="91"/>
      <c r="T32" s="91"/>
      <c r="U32" s="98"/>
      <c r="V32" s="91"/>
      <c r="W32" s="92"/>
      <c r="X32" s="93"/>
      <c r="Y32" s="93"/>
      <c r="Z32" s="93"/>
      <c r="AA32" s="98"/>
      <c r="AB32" s="93"/>
      <c r="AC32" s="98"/>
      <c r="AD32" s="96"/>
      <c r="AE32" s="96"/>
      <c r="AF32" s="96"/>
      <c r="AH32" s="59">
        <f t="shared" si="20"/>
        <v>2</v>
      </c>
    </row>
    <row r="33" spans="1:50">
      <c r="A33" s="132" t="s">
        <v>98</v>
      </c>
      <c r="B33" s="91">
        <v>28</v>
      </c>
      <c r="C33" s="91" t="s">
        <v>4</v>
      </c>
      <c r="D33" s="103" t="s">
        <v>9</v>
      </c>
      <c r="E33" s="104">
        <f>1/3</f>
        <v>0.33333333333333331</v>
      </c>
      <c r="F33" s="103" t="s">
        <v>9</v>
      </c>
      <c r="G33" s="104">
        <f>1/3</f>
        <v>0.33333333333333331</v>
      </c>
      <c r="H33" s="91" t="s">
        <v>0</v>
      </c>
      <c r="I33" s="104">
        <f>1/3</f>
        <v>0.33333333333333331</v>
      </c>
      <c r="J33" s="91">
        <f>(E33+G33+I33)/1</f>
        <v>1</v>
      </c>
      <c r="K33" s="91">
        <v>4</v>
      </c>
      <c r="L33" s="96">
        <f t="shared" si="97"/>
        <v>1</v>
      </c>
      <c r="M33" s="91">
        <f>4*4*4*16/1024</f>
        <v>1</v>
      </c>
      <c r="N33" s="105">
        <v>1</v>
      </c>
      <c r="O33" s="91">
        <v>32</v>
      </c>
      <c r="P33" s="91">
        <v>33.5</v>
      </c>
      <c r="Q33" s="91">
        <v>32</v>
      </c>
      <c r="R33" s="91">
        <f>M33*O33</f>
        <v>32</v>
      </c>
      <c r="S33" s="91">
        <v>103</v>
      </c>
      <c r="T33" s="91">
        <v>55</v>
      </c>
      <c r="U33" s="98">
        <f>IF(AA33 &gt; $U$1, $U$1, AA33)</f>
        <v>1.3</v>
      </c>
      <c r="V33" s="91">
        <v>160</v>
      </c>
      <c r="W33" s="92">
        <f>R33/S33*8</f>
        <v>2.4854368932038833</v>
      </c>
      <c r="X33" s="93">
        <f>IF(AA33 &gt; $U$1, $U$1/AA33*Z33, Z33)</f>
        <v>2954.5454545454545</v>
      </c>
      <c r="Y33" s="93">
        <f>16/V33/M33*10^3</f>
        <v>100</v>
      </c>
      <c r="Z33" s="93">
        <f>Y33*R33</f>
        <v>3200</v>
      </c>
      <c r="AA33" s="98">
        <f>T33*10^-6*8*Z33</f>
        <v>1.4079999999999999</v>
      </c>
      <c r="AB33" s="93"/>
      <c r="AC33" s="98"/>
      <c r="AD33" s="96">
        <f>($AE$1+$AE$2*K33/2)*75%*$W$8/W33</f>
        <v>0.88285714285714301</v>
      </c>
      <c r="AE33" s="96">
        <f>($AE$1+$AE$2*L33/2)*75%*$W$8/Z33</f>
        <v>3.4285714285714285E-4</v>
      </c>
      <c r="AF33" s="96">
        <f>($AE$1+$AE$2*M33/2)*75%*$W$8/Y33</f>
        <v>1.0971428571428571E-2</v>
      </c>
      <c r="AH33" s="59">
        <f t="shared" ref="AH33" si="110">AH32</f>
        <v>2</v>
      </c>
      <c r="AI33" s="59">
        <v>101</v>
      </c>
      <c r="AJ33" s="59">
        <v>30</v>
      </c>
      <c r="AK33" s="59">
        <f t="shared" ref="AK33" si="111">AH33*AI33+$V33</f>
        <v>362</v>
      </c>
      <c r="AL33" s="59">
        <f t="shared" ref="AL33" si="112">AH33*AJ33+$T33</f>
        <v>115</v>
      </c>
      <c r="AM33" s="117">
        <f t="shared" ref="AM33" si="113">16/AK33*$O33*10^3</f>
        <v>1414.3646408839779</v>
      </c>
      <c r="AN33" s="127">
        <f t="shared" ref="AN33" si="114">AM33*8*AL33*10^-6</f>
        <v>1.3012154696132596</v>
      </c>
      <c r="AO33" s="117">
        <f t="shared" ref="AO33" si="115">IF(AN33 &gt; $U$1, $U$1/AN33*AM33, AM33)</f>
        <v>1413.0434782608697</v>
      </c>
      <c r="AP33" s="128">
        <f>AO33*AL33*8*10^-6</f>
        <v>1.3000000000000003</v>
      </c>
      <c r="AQ33" s="128"/>
      <c r="AR33" s="59">
        <v>4800</v>
      </c>
      <c r="AS33" s="117">
        <f t="shared" ref="AS33" si="116">X33</f>
        <v>2954.5454545454545</v>
      </c>
      <c r="AT33" s="137">
        <f t="shared" ref="AT33" si="117">AS33*8*T33*10^-6</f>
        <v>1.3</v>
      </c>
      <c r="AU33" s="117">
        <f t="shared" ref="AU33" si="118">1/(1/AR33+1/AS33)</f>
        <v>1828.8393903868698</v>
      </c>
      <c r="AV33" s="127">
        <f t="shared" ref="AV33" si="119">AU33*(AJ33+T33)*8*10^-6</f>
        <v>1.2436107854630714</v>
      </c>
      <c r="AW33" s="138">
        <f t="shared" ref="AW33" si="120">1/(2/AR33+1/AS33)</f>
        <v>1324.2784380305604</v>
      </c>
      <c r="AX33" s="127">
        <f t="shared" ref="AX33" si="121">AW33*(2*AJ33+T33)*8*10^-6</f>
        <v>1.2183361629881155</v>
      </c>
    </row>
    <row r="34" spans="1:50">
      <c r="A34" s="134"/>
      <c r="B34" s="91"/>
      <c r="C34" s="91"/>
      <c r="D34" s="103"/>
      <c r="E34" s="104"/>
      <c r="F34" s="103"/>
      <c r="G34" s="104"/>
      <c r="H34" s="91"/>
      <c r="I34" s="104"/>
      <c r="J34" s="91"/>
      <c r="K34" s="91"/>
      <c r="L34" s="96"/>
      <c r="M34" s="91"/>
      <c r="N34" s="105"/>
      <c r="O34" s="91"/>
      <c r="P34" s="91"/>
      <c r="Q34" s="91"/>
      <c r="R34" s="91"/>
      <c r="S34" s="91"/>
      <c r="T34" s="91"/>
      <c r="U34" s="98"/>
      <c r="V34" s="91"/>
      <c r="W34" s="92"/>
      <c r="X34" s="93"/>
      <c r="Y34" s="93"/>
      <c r="Z34" s="93"/>
      <c r="AA34" s="98"/>
      <c r="AB34" s="93"/>
      <c r="AC34" s="98"/>
      <c r="AD34" s="96"/>
      <c r="AE34" s="96"/>
      <c r="AF34" s="108"/>
      <c r="AH34" s="59">
        <f t="shared" si="20"/>
        <v>2</v>
      </c>
    </row>
    <row r="35" spans="1:50">
      <c r="A35" s="89"/>
      <c r="B35" s="91"/>
      <c r="C35" s="91"/>
      <c r="D35" s="103"/>
      <c r="E35" s="104"/>
      <c r="F35" s="103"/>
      <c r="G35" s="104"/>
      <c r="H35" s="91"/>
      <c r="I35" s="104"/>
      <c r="J35" s="91"/>
      <c r="K35" s="91"/>
      <c r="L35" s="96"/>
      <c r="M35" s="91"/>
      <c r="N35" s="105"/>
      <c r="O35" s="91"/>
      <c r="P35" s="91"/>
      <c r="Q35" s="91"/>
      <c r="R35" s="91"/>
      <c r="S35" s="91"/>
      <c r="T35" s="91"/>
      <c r="U35" s="93"/>
      <c r="V35" s="91"/>
      <c r="W35" s="92"/>
      <c r="X35" s="93"/>
      <c r="Y35" s="93"/>
      <c r="Z35" s="93"/>
      <c r="AA35" s="98"/>
      <c r="AB35" s="93"/>
      <c r="AC35" s="93"/>
      <c r="AD35" s="96"/>
      <c r="AE35" s="96"/>
      <c r="AF35" s="108"/>
      <c r="AH35" s="59">
        <f t="shared" si="20"/>
        <v>2</v>
      </c>
    </row>
    <row r="36" spans="1:50">
      <c r="A36" s="132" t="s">
        <v>99</v>
      </c>
      <c r="B36" s="91">
        <v>26.5</v>
      </c>
      <c r="C36" s="91" t="s">
        <v>4</v>
      </c>
      <c r="D36" s="103" t="s">
        <v>9</v>
      </c>
      <c r="E36" s="104">
        <f>1/3</f>
        <v>0.33333333333333331</v>
      </c>
      <c r="F36" s="103" t="s">
        <v>9</v>
      </c>
      <c r="G36" s="104">
        <f>1/3</f>
        <v>0.33333333333333331</v>
      </c>
      <c r="H36" s="91" t="s">
        <v>0</v>
      </c>
      <c r="I36" s="104">
        <f>1/3</f>
        <v>0.33333333333333331</v>
      </c>
      <c r="J36" s="91">
        <f>(E36+G36+I36)/1</f>
        <v>1</v>
      </c>
      <c r="K36" s="91">
        <v>4</v>
      </c>
      <c r="L36" s="96">
        <f t="shared" ref="L36:L38" si="122">1/J36</f>
        <v>1</v>
      </c>
      <c r="M36" s="91">
        <f>4*4*4*16/1024</f>
        <v>1</v>
      </c>
      <c r="N36" s="105">
        <v>1</v>
      </c>
      <c r="O36" s="91">
        <v>64</v>
      </c>
      <c r="P36" s="91">
        <v>33.5</v>
      </c>
      <c r="Q36" s="91">
        <v>32</v>
      </c>
      <c r="R36" s="91">
        <f>M36*O36</f>
        <v>64</v>
      </c>
      <c r="S36" s="91">
        <v>175</v>
      </c>
      <c r="T36" s="91">
        <v>50</v>
      </c>
      <c r="U36" s="98">
        <f>IF(AA36 &gt; $U$1, $U$1, AA36)</f>
        <v>1.3</v>
      </c>
      <c r="V36" s="91">
        <v>240</v>
      </c>
      <c r="W36" s="92">
        <f>R36/S36*8</f>
        <v>2.9257142857142857</v>
      </c>
      <c r="X36" s="93">
        <f>IF(AA36 &gt; $U$1, $U$1/AA36*Z36, Z36)</f>
        <v>3250.0000000000009</v>
      </c>
      <c r="Y36" s="93">
        <f>16/V36/M36*10^3</f>
        <v>66.666666666666671</v>
      </c>
      <c r="Z36" s="93">
        <f>Y36*R36</f>
        <v>4266.666666666667</v>
      </c>
      <c r="AA36" s="98">
        <f>T36*10^-6*8*Z36</f>
        <v>1.7066666666666666</v>
      </c>
      <c r="AB36" s="93"/>
      <c r="AC36" s="98"/>
      <c r="AD36" s="96">
        <f>($AE$1+$AE$2*K36/2)*75%*$W$8/W36</f>
        <v>0.75</v>
      </c>
      <c r="AE36" s="96">
        <f>($AE$1+$AE$2*L36/2)*75%*$W$8/Z36</f>
        <v>2.5714285714285715E-4</v>
      </c>
      <c r="AF36" s="96">
        <f>($AE$1+$AE$2*M36/2)*75%*$W$8/Y36</f>
        <v>1.6457142857142858E-2</v>
      </c>
      <c r="AH36" s="59">
        <f t="shared" ref="AH36" si="123">AH35</f>
        <v>2</v>
      </c>
      <c r="AI36" s="59">
        <v>101</v>
      </c>
      <c r="AJ36" s="59">
        <v>30</v>
      </c>
      <c r="AK36" s="59">
        <f t="shared" ref="AK36" si="124">AH36*AI36+$V36</f>
        <v>442</v>
      </c>
      <c r="AL36" s="59">
        <f t="shared" ref="AL36" si="125">AH36*AJ36+$T36</f>
        <v>110</v>
      </c>
      <c r="AM36" s="117">
        <f t="shared" ref="AM36" si="126">16/AK36*$O36*10^3</f>
        <v>2316.7420814479642</v>
      </c>
      <c r="AN36" s="127">
        <f t="shared" ref="AN36" si="127">AM36*8*AL36*10^-6</f>
        <v>2.0387330316742083</v>
      </c>
      <c r="AO36" s="117">
        <f t="shared" ref="AO36" si="128">IF(AN36 &gt; $U$1, $U$1/AN36*AM36, AM36)</f>
        <v>1477.2727272727275</v>
      </c>
      <c r="AP36" s="128">
        <f>AO36*AL36*8*10^-6</f>
        <v>1.3000000000000003</v>
      </c>
      <c r="AQ36" s="128"/>
      <c r="AR36" s="59">
        <v>4800</v>
      </c>
      <c r="AS36" s="117">
        <f t="shared" ref="AS36" si="129">X36</f>
        <v>3250.0000000000009</v>
      </c>
      <c r="AT36" s="137">
        <f t="shared" ref="AT36" si="130">AS36*8*T36*10^-6</f>
        <v>1.3000000000000005</v>
      </c>
      <c r="AU36" s="117">
        <f t="shared" ref="AU36" si="131">1/(1/AR36+1/AS36)</f>
        <v>1937.8881987577645</v>
      </c>
      <c r="AV36" s="127">
        <f t="shared" ref="AV36" si="132">AU36*(AJ36+T36)*8*10^-6</f>
        <v>1.2402484472049693</v>
      </c>
      <c r="AW36" s="138">
        <f t="shared" ref="AW36" si="133">1/(2/AR36+1/AS36)</f>
        <v>1380.5309734513276</v>
      </c>
      <c r="AX36" s="127">
        <f t="shared" ref="AX36" si="134">AW36*(2*AJ36+T36)*8*10^-6</f>
        <v>1.2148672566371683</v>
      </c>
    </row>
    <row r="37" spans="1:50">
      <c r="A37" s="134"/>
      <c r="B37" s="91"/>
      <c r="C37" s="91"/>
      <c r="D37" s="103"/>
      <c r="E37" s="104"/>
      <c r="F37" s="103"/>
      <c r="G37" s="104"/>
      <c r="H37" s="91"/>
      <c r="I37" s="104"/>
      <c r="J37" s="91"/>
      <c r="K37" s="91"/>
      <c r="L37" s="96"/>
      <c r="M37" s="91"/>
      <c r="N37" s="105"/>
      <c r="O37" s="91"/>
      <c r="P37" s="91"/>
      <c r="Q37" s="91"/>
      <c r="R37" s="91"/>
      <c r="S37" s="91"/>
      <c r="T37" s="91"/>
      <c r="U37" s="98"/>
      <c r="V37" s="91"/>
      <c r="W37" s="92"/>
      <c r="X37" s="93"/>
      <c r="Y37" s="93"/>
      <c r="Z37" s="93"/>
      <c r="AA37" s="98"/>
      <c r="AB37" s="93"/>
      <c r="AC37" s="98"/>
      <c r="AD37" s="96"/>
      <c r="AE37" s="96"/>
      <c r="AF37" s="96"/>
      <c r="AH37" s="59">
        <f t="shared" si="20"/>
        <v>2</v>
      </c>
    </row>
    <row r="38" spans="1:50">
      <c r="A38" s="89" t="s">
        <v>100</v>
      </c>
      <c r="B38" s="91">
        <v>26.5</v>
      </c>
      <c r="C38" s="91" t="s">
        <v>4</v>
      </c>
      <c r="D38" s="103" t="s">
        <v>9</v>
      </c>
      <c r="E38" s="104">
        <f>1/3</f>
        <v>0.33333333333333331</v>
      </c>
      <c r="F38" s="103" t="s">
        <v>9</v>
      </c>
      <c r="G38" s="104">
        <f>1/3</f>
        <v>0.33333333333333331</v>
      </c>
      <c r="H38" s="91" t="s">
        <v>0</v>
      </c>
      <c r="I38" s="104">
        <f>1/3</f>
        <v>0.33333333333333331</v>
      </c>
      <c r="J38" s="91">
        <f>(E38+G38+I38)/1</f>
        <v>1</v>
      </c>
      <c r="K38" s="91">
        <v>4</v>
      </c>
      <c r="L38" s="96">
        <f t="shared" si="122"/>
        <v>1</v>
      </c>
      <c r="M38" s="91">
        <f>4*4*4*16/1024</f>
        <v>1</v>
      </c>
      <c r="N38" s="105">
        <v>1</v>
      </c>
      <c r="O38" s="91">
        <v>32</v>
      </c>
      <c r="P38" s="91">
        <v>33.5</v>
      </c>
      <c r="Q38" s="91">
        <v>32</v>
      </c>
      <c r="R38" s="91">
        <f>M38*O38</f>
        <v>32</v>
      </c>
      <c r="S38" s="91">
        <v>95</v>
      </c>
      <c r="T38" s="91">
        <v>50</v>
      </c>
      <c r="U38" s="98">
        <f>IF(AA38 &gt; $U$1, $U$1, AA38)</f>
        <v>0.85333333333333328</v>
      </c>
      <c r="V38" s="91">
        <v>240</v>
      </c>
      <c r="W38" s="92">
        <f>R38/S38*8</f>
        <v>2.6947368421052631</v>
      </c>
      <c r="X38" s="93">
        <f>IF(AA38 &gt; $U$1, $U$1/AA38*Z38, Z38)</f>
        <v>2133.3333333333335</v>
      </c>
      <c r="Y38" s="93">
        <f>16/V38/M38*10^3</f>
        <v>66.666666666666671</v>
      </c>
      <c r="Z38" s="93">
        <f>Y38*R38</f>
        <v>2133.3333333333335</v>
      </c>
      <c r="AA38" s="98">
        <f>T38*10^-6*8*Z38</f>
        <v>0.85333333333333328</v>
      </c>
      <c r="AB38" s="93"/>
      <c r="AC38" s="98"/>
      <c r="AD38" s="96">
        <f>($AE$1+$AE$2*K38/2)*75%*$W$8/W38</f>
        <v>0.81428571428571439</v>
      </c>
      <c r="AE38" s="96">
        <f>($AE$1+$AE$2*L38/2)*75%*$W$8/Z38</f>
        <v>5.142857142857143E-4</v>
      </c>
      <c r="AF38" s="96">
        <f>($AE$1+$AE$2*M38/2)*75%*$W$8/Y38</f>
        <v>1.6457142857142858E-2</v>
      </c>
      <c r="AH38" s="59">
        <f t="shared" ref="AH38" si="135">AH37</f>
        <v>2</v>
      </c>
      <c r="AI38" s="59">
        <v>101</v>
      </c>
      <c r="AJ38" s="59">
        <v>30</v>
      </c>
      <c r="AK38" s="59">
        <f t="shared" ref="AK38" si="136">AH38*AI38+$V38</f>
        <v>442</v>
      </c>
      <c r="AL38" s="59">
        <f t="shared" ref="AL38" si="137">AH38*AJ38+$T38</f>
        <v>110</v>
      </c>
      <c r="AM38" s="117">
        <f t="shared" ref="AM38" si="138">16/AK38*$O38*10^3</f>
        <v>1158.3710407239821</v>
      </c>
      <c r="AN38" s="127">
        <f t="shared" ref="AN38" si="139">AM38*8*AL38*10^-6</f>
        <v>1.0193665158371041</v>
      </c>
      <c r="AO38" s="117">
        <f t="shared" ref="AO38" si="140">IF(AN38 &gt; $U$1, $U$1/AN38*AM38, AM38)</f>
        <v>1158.3710407239821</v>
      </c>
      <c r="AP38" s="128">
        <f>AO38*AL38*8*10^-6</f>
        <v>1.0193665158371041</v>
      </c>
      <c r="AQ38" s="128"/>
      <c r="AR38" s="59">
        <v>4800</v>
      </c>
      <c r="AS38" s="117">
        <f t="shared" ref="AS38" si="141">X38</f>
        <v>2133.3333333333335</v>
      </c>
      <c r="AT38" s="137">
        <f t="shared" ref="AT38" si="142">AS38*8*T38*10^-6</f>
        <v>0.85333333333333339</v>
      </c>
      <c r="AU38" s="117">
        <f t="shared" ref="AU38" si="143">1/(1/AR38+1/AS38)</f>
        <v>1476.9230769230769</v>
      </c>
      <c r="AV38" s="127">
        <f t="shared" ref="AV38" si="144">AU38*(AJ38+T38)*8*10^-6</f>
        <v>0.94523076923076921</v>
      </c>
      <c r="AW38" s="138">
        <f t="shared" ref="AW38" si="145">1/(2/AR38+1/AS38)</f>
        <v>1129.4117647058822</v>
      </c>
      <c r="AX38" s="127">
        <f t="shared" ref="AX38" si="146">AW38*(2*AJ38+T38)*8*10^-6</f>
        <v>0.99388235294117633</v>
      </c>
    </row>
    <row r="39" spans="1:50">
      <c r="A39" s="89"/>
      <c r="B39" s="91"/>
      <c r="C39" s="91"/>
      <c r="D39" s="103"/>
      <c r="E39" s="104"/>
      <c r="F39" s="103"/>
      <c r="G39" s="104"/>
      <c r="H39" s="91"/>
      <c r="I39" s="104"/>
      <c r="J39" s="91"/>
      <c r="K39" s="91"/>
      <c r="L39" s="96"/>
      <c r="M39" s="91"/>
      <c r="N39" s="105"/>
      <c r="O39" s="91"/>
      <c r="P39" s="91"/>
      <c r="Q39" s="91"/>
      <c r="R39" s="91"/>
      <c r="S39" s="91"/>
      <c r="T39" s="91"/>
      <c r="U39" s="93"/>
      <c r="V39" s="91"/>
      <c r="W39" s="92"/>
      <c r="X39" s="93"/>
      <c r="Y39" s="91"/>
      <c r="Z39" s="93"/>
      <c r="AA39" s="93"/>
      <c r="AB39" s="93"/>
      <c r="AC39" s="93"/>
      <c r="AD39" s="96"/>
      <c r="AE39" s="96"/>
      <c r="AF39" s="97"/>
      <c r="AH39" s="59">
        <f t="shared" si="20"/>
        <v>2</v>
      </c>
    </row>
    <row r="40" spans="1:50">
      <c r="A40" s="132" t="s">
        <v>101</v>
      </c>
      <c r="B40" s="91">
        <v>26.5</v>
      </c>
      <c r="C40" s="91" t="s">
        <v>4</v>
      </c>
      <c r="D40" s="103" t="s">
        <v>9</v>
      </c>
      <c r="E40" s="104">
        <f>1/3</f>
        <v>0.33333333333333331</v>
      </c>
      <c r="F40" s="103" t="s">
        <v>9</v>
      </c>
      <c r="G40" s="104">
        <f>1/3</f>
        <v>0.33333333333333331</v>
      </c>
      <c r="H40" s="91" t="s">
        <v>0</v>
      </c>
      <c r="I40" s="104">
        <f>1/3</f>
        <v>0.33333333333333331</v>
      </c>
      <c r="J40" s="91">
        <f>(E40+G40+I40)/1</f>
        <v>1</v>
      </c>
      <c r="K40" s="91">
        <v>4</v>
      </c>
      <c r="L40" s="96">
        <f t="shared" ref="L40:L43" si="147">1/J40</f>
        <v>1</v>
      </c>
      <c r="M40" s="91">
        <f>4*4*4*16/1024</f>
        <v>1</v>
      </c>
      <c r="N40" s="105">
        <v>1</v>
      </c>
      <c r="O40" s="91">
        <v>64</v>
      </c>
      <c r="P40" s="91">
        <v>33.5</v>
      </c>
      <c r="Q40" s="91">
        <v>32</v>
      </c>
      <c r="R40" s="91">
        <f>M40*O40</f>
        <v>64</v>
      </c>
      <c r="S40" s="91">
        <v>175</v>
      </c>
      <c r="T40" s="91">
        <v>50</v>
      </c>
      <c r="U40" s="98">
        <f>IF(AA40 &gt; $U$1, $U$1, AA40)</f>
        <v>1.3</v>
      </c>
      <c r="V40" s="91">
        <v>185</v>
      </c>
      <c r="W40" s="92">
        <f>R40/S40*8</f>
        <v>2.9257142857142857</v>
      </c>
      <c r="X40" s="93">
        <f>IF(AA40 &gt; $U$1, $U$1/AA40*Z40, Z40)</f>
        <v>3250.0000000000005</v>
      </c>
      <c r="Y40" s="93">
        <f>16/V40/M40*10^3</f>
        <v>86.486486486486484</v>
      </c>
      <c r="Z40" s="93">
        <f>Y40*R40</f>
        <v>5535.135135135135</v>
      </c>
      <c r="AA40" s="98">
        <f>T40*10^-6*8*Z40</f>
        <v>2.2140540540540536</v>
      </c>
      <c r="AB40" s="93"/>
      <c r="AC40" s="98"/>
      <c r="AD40" s="96">
        <f>($AE$1+$AE$2*K40/2)*75%*$W$8/W40</f>
        <v>0.75</v>
      </c>
      <c r="AE40" s="96">
        <f>($AE$1+$AE$2*L40/2)*75%*$W$8/Z40</f>
        <v>1.9821428571428572E-4</v>
      </c>
      <c r="AF40" s="96">
        <f>($AE$1+$AE$2*M40/2)*75%*$W$8/Y40</f>
        <v>1.2685714285714286E-2</v>
      </c>
      <c r="AH40" s="59">
        <f t="shared" ref="AH40" si="148">AH39</f>
        <v>2</v>
      </c>
      <c r="AI40" s="59">
        <v>101</v>
      </c>
      <c r="AJ40" s="59">
        <v>30</v>
      </c>
      <c r="AK40" s="59">
        <f t="shared" ref="AK40" si="149">AH40*AI40+$V40</f>
        <v>387</v>
      </c>
      <c r="AL40" s="59">
        <f>AH40*AJ40+$T40</f>
        <v>110</v>
      </c>
      <c r="AM40" s="117">
        <f t="shared" ref="AM40" si="150">16/AK40*$O40*10^3</f>
        <v>2645.9948320413437</v>
      </c>
      <c r="AN40" s="127">
        <f t="shared" ref="AN40" si="151">AM40*8*AL40*10^-6</f>
        <v>2.3284754521963822</v>
      </c>
      <c r="AO40" s="117">
        <f t="shared" ref="AO40" si="152">IF(AN40 &gt; $U$1, $U$1/AN40*AM40, AM40)</f>
        <v>1477.2727272727275</v>
      </c>
      <c r="AP40" s="128">
        <f>AO40*AL40*8*10^-6</f>
        <v>1.3000000000000003</v>
      </c>
      <c r="AQ40" s="128"/>
      <c r="AR40" s="143">
        <v>4800</v>
      </c>
      <c r="AS40" s="139">
        <f t="shared" ref="AS40" si="153">X40</f>
        <v>3250.0000000000005</v>
      </c>
      <c r="AT40" s="140">
        <f t="shared" ref="AT40" si="154">AS40*8*T40*10^-6</f>
        <v>1.3000000000000003</v>
      </c>
      <c r="AU40" s="139">
        <f t="shared" ref="AU40" si="155">1/(1/AR40+1/AS40)</f>
        <v>1937.888198757764</v>
      </c>
      <c r="AV40" s="141">
        <f t="shared" ref="AV40" si="156">AU40*(AJ40+T40)*8*10^-6</f>
        <v>1.2402484472049689</v>
      </c>
      <c r="AW40" s="142">
        <f t="shared" ref="AW40" si="157">1/(2/AR40+1/AS40)</f>
        <v>1380.5309734513273</v>
      </c>
      <c r="AX40" s="141">
        <f t="shared" ref="AX40" si="158">AW40*(2*AJ40+T40)*8*10^-6</f>
        <v>1.2148672566371681</v>
      </c>
    </row>
    <row r="41" spans="1:50">
      <c r="A41" s="134"/>
      <c r="B41" s="91"/>
      <c r="C41" s="91"/>
      <c r="D41" s="103"/>
      <c r="E41" s="104"/>
      <c r="F41" s="103"/>
      <c r="G41" s="104"/>
      <c r="H41" s="91"/>
      <c r="I41" s="104"/>
      <c r="J41" s="91"/>
      <c r="K41" s="91"/>
      <c r="L41" s="96"/>
      <c r="M41" s="91"/>
      <c r="N41" s="105"/>
      <c r="O41" s="91"/>
      <c r="P41" s="91"/>
      <c r="Q41" s="91"/>
      <c r="R41" s="91"/>
      <c r="S41" s="91"/>
      <c r="T41" s="91"/>
      <c r="U41" s="98"/>
      <c r="V41" s="91"/>
      <c r="W41" s="92"/>
      <c r="X41" s="93"/>
      <c r="Y41" s="93"/>
      <c r="Z41" s="93"/>
      <c r="AA41" s="98"/>
      <c r="AB41" s="93"/>
      <c r="AC41" s="98"/>
      <c r="AD41" s="96"/>
      <c r="AE41" s="96"/>
      <c r="AF41" s="96"/>
      <c r="AH41" s="59">
        <f t="shared" si="20"/>
        <v>2</v>
      </c>
    </row>
    <row r="42" spans="1:50">
      <c r="A42" s="132" t="s">
        <v>102</v>
      </c>
      <c r="B42" s="91">
        <v>26.5</v>
      </c>
      <c r="C42" s="91" t="s">
        <v>4</v>
      </c>
      <c r="D42" s="103" t="s">
        <v>9</v>
      </c>
      <c r="E42" s="104">
        <f>1/3</f>
        <v>0.33333333333333331</v>
      </c>
      <c r="F42" s="103" t="s">
        <v>9</v>
      </c>
      <c r="G42" s="104">
        <f>1/3</f>
        <v>0.33333333333333331</v>
      </c>
      <c r="H42" s="91" t="s">
        <v>0</v>
      </c>
      <c r="I42" s="104">
        <f>1/3</f>
        <v>0.33333333333333331</v>
      </c>
      <c r="J42" s="91">
        <f>(E42+G42+I42)/1</f>
        <v>1</v>
      </c>
      <c r="K42" s="91">
        <v>4</v>
      </c>
      <c r="L42" s="96">
        <f t="shared" ref="L42" si="159">1/J42</f>
        <v>1</v>
      </c>
      <c r="M42" s="91">
        <f>4*4*4*16/1024</f>
        <v>1</v>
      </c>
      <c r="N42" s="105">
        <v>1</v>
      </c>
      <c r="O42" s="91">
        <v>32</v>
      </c>
      <c r="P42" s="91">
        <v>33.5</v>
      </c>
      <c r="Q42" s="91">
        <v>32</v>
      </c>
      <c r="R42" s="91">
        <f>M42*O42</f>
        <v>32</v>
      </c>
      <c r="S42" s="91">
        <v>95</v>
      </c>
      <c r="T42" s="91">
        <v>50</v>
      </c>
      <c r="U42" s="98">
        <f>IF(AA42 &gt; $U$1, $U$1, AA42)</f>
        <v>1.1070270270270268</v>
      </c>
      <c r="V42" s="91">
        <v>185</v>
      </c>
      <c r="W42" s="92">
        <f>R42/S42*8</f>
        <v>2.6947368421052631</v>
      </c>
      <c r="X42" s="93">
        <f>IF(AA42 &gt; $U$1, $U$1/AA42*Z42, Z42)</f>
        <v>2767.5675675675675</v>
      </c>
      <c r="Y42" s="93">
        <f>16/V42/M42*10^3</f>
        <v>86.486486486486484</v>
      </c>
      <c r="Z42" s="93">
        <f>Y42*R42</f>
        <v>2767.5675675675675</v>
      </c>
      <c r="AA42" s="98">
        <f>T42*10^-6*8*Z42</f>
        <v>1.1070270270270268</v>
      </c>
      <c r="AB42" s="93"/>
      <c r="AC42" s="98"/>
      <c r="AD42" s="96">
        <f>($AE$1+$AE$2*K42/2)*75%*$W$8/W42</f>
        <v>0.81428571428571439</v>
      </c>
      <c r="AE42" s="96">
        <f>($AE$1+$AE$2*L42/2)*75%*$W$8/Z42</f>
        <v>3.9642857142857145E-4</v>
      </c>
      <c r="AF42" s="96">
        <f>($AE$1+$AE$2*M42/2)*75%*$W$8/Y42</f>
        <v>1.2685714285714286E-2</v>
      </c>
      <c r="AH42" s="59">
        <f t="shared" ref="AH42:AH43" si="160">AH41</f>
        <v>2</v>
      </c>
      <c r="AI42" s="59">
        <v>101</v>
      </c>
      <c r="AJ42" s="59">
        <v>30</v>
      </c>
      <c r="AK42" s="59">
        <f t="shared" ref="AK42:AK43" si="161">AH42*AI42+$V42</f>
        <v>387</v>
      </c>
      <c r="AL42" s="59">
        <f t="shared" ref="AL42:AL43" si="162">AH42*AJ42+$T42</f>
        <v>110</v>
      </c>
      <c r="AM42" s="117">
        <f t="shared" ref="AM42:AM43" si="163">16/AK42*$O42*10^3</f>
        <v>1322.9974160206718</v>
      </c>
      <c r="AN42" s="127">
        <f t="shared" ref="AN42:AN43" si="164">AM42*8*AL42*10^-6</f>
        <v>1.1642377260981911</v>
      </c>
      <c r="AO42" s="117">
        <f t="shared" ref="AO42:AO43" si="165">IF(AN42 &gt; $U$1, $U$1/AN42*AM42, AM42)</f>
        <v>1322.9974160206718</v>
      </c>
      <c r="AP42" s="128">
        <f>AO42*AL42*8*10^-6</f>
        <v>1.1642377260981911</v>
      </c>
      <c r="AQ42" s="128"/>
      <c r="AR42" s="143">
        <v>4800</v>
      </c>
      <c r="AS42" s="139">
        <f t="shared" ref="AS42:AS43" si="166">X42</f>
        <v>2767.5675675675675</v>
      </c>
      <c r="AT42" s="140">
        <f t="shared" ref="AT42:AT43" si="167">AS42*8*T42*10^-6</f>
        <v>1.1070270270270268</v>
      </c>
      <c r="AU42" s="139">
        <f t="shared" ref="AU42:AU43" si="168">1/(1/AR42+1/AS42)</f>
        <v>1755.4285714285713</v>
      </c>
      <c r="AV42" s="141">
        <f t="shared" ref="AV42:AV43" si="169">AU42*(AJ42+T42)*8*10^-6</f>
        <v>1.1234742857142856</v>
      </c>
      <c r="AW42" s="142">
        <f t="shared" ref="AW42:AW43" si="170">1/(2/AR42+1/AS42)</f>
        <v>1285.3556485355648</v>
      </c>
      <c r="AX42" s="141">
        <f t="shared" ref="AX42:AX43" si="171">AW42*(2*AJ42+T42)*8*10^-6</f>
        <v>1.131112970711297</v>
      </c>
    </row>
    <row r="43" spans="1:50" ht="17" thickBot="1">
      <c r="A43" s="133"/>
      <c r="B43" s="91">
        <v>26.5</v>
      </c>
      <c r="C43" s="91" t="s">
        <v>4</v>
      </c>
      <c r="D43" s="103" t="s">
        <v>9</v>
      </c>
      <c r="E43" s="104">
        <f>1/3</f>
        <v>0.33333333333333331</v>
      </c>
      <c r="F43" s="103" t="s">
        <v>9</v>
      </c>
      <c r="G43" s="104">
        <f>1/3</f>
        <v>0.33333333333333331</v>
      </c>
      <c r="H43" s="91" t="s">
        <v>0</v>
      </c>
      <c r="I43" s="104">
        <f>1/3</f>
        <v>0.33333333333333331</v>
      </c>
      <c r="J43" s="91">
        <f>(E43+G43+I43)/1</f>
        <v>1</v>
      </c>
      <c r="K43" s="91">
        <v>4</v>
      </c>
      <c r="L43" s="96">
        <f t="shared" si="147"/>
        <v>1</v>
      </c>
      <c r="M43" s="91">
        <f>4*4*4*16/1024</f>
        <v>1</v>
      </c>
      <c r="N43" s="105">
        <v>1</v>
      </c>
      <c r="O43" s="91">
        <v>32</v>
      </c>
      <c r="P43" s="91">
        <v>33.5</v>
      </c>
      <c r="Q43" s="91">
        <v>32</v>
      </c>
      <c r="R43" s="91">
        <f>M43*O43</f>
        <v>32</v>
      </c>
      <c r="S43" s="91">
        <v>95</v>
      </c>
      <c r="T43" s="91">
        <v>50</v>
      </c>
      <c r="U43" s="98">
        <f>IF(AA43 &gt; $U$1, $U$1, AA43)</f>
        <v>1.2799999999999998</v>
      </c>
      <c r="V43" s="91">
        <v>160</v>
      </c>
      <c r="W43" s="92">
        <f>R43/S43*8</f>
        <v>2.6947368421052631</v>
      </c>
      <c r="X43" s="93">
        <f>IF(AA43 &gt; $U$1, $U$1/AA43*Z43, Z43)</f>
        <v>3200</v>
      </c>
      <c r="Y43" s="93">
        <f>16/V43/M43*10^3</f>
        <v>100</v>
      </c>
      <c r="Z43" s="93">
        <f>Y43*R43</f>
        <v>3200</v>
      </c>
      <c r="AA43" s="98">
        <f>T43*10^-6*8*Z43</f>
        <v>1.2799999999999998</v>
      </c>
      <c r="AB43" s="93"/>
      <c r="AC43" s="98"/>
      <c r="AD43" s="96">
        <f>($AE$1+$AE$2*K43/2)*75%*$W$8/W43</f>
        <v>0.81428571428571439</v>
      </c>
      <c r="AE43" s="96">
        <f>($AE$1+$AE$2*L43/2)*75%*$W$8/Z43</f>
        <v>3.4285714285714285E-4</v>
      </c>
      <c r="AF43" s="96">
        <f>($AE$1+$AE$2*M43/2)*75%*$W$8/Y43</f>
        <v>1.0971428571428571E-2</v>
      </c>
      <c r="AH43" s="59">
        <f t="shared" si="160"/>
        <v>2</v>
      </c>
      <c r="AI43" s="59">
        <v>101</v>
      </c>
      <c r="AJ43" s="59">
        <v>30</v>
      </c>
      <c r="AK43" s="59">
        <f t="shared" si="161"/>
        <v>362</v>
      </c>
      <c r="AL43" s="59">
        <f t="shared" si="162"/>
        <v>110</v>
      </c>
      <c r="AM43" s="117">
        <f t="shared" si="163"/>
        <v>1414.3646408839779</v>
      </c>
      <c r="AN43" s="127">
        <f t="shared" si="164"/>
        <v>1.2446408839779004</v>
      </c>
      <c r="AO43" s="117">
        <f t="shared" si="165"/>
        <v>1414.3646408839779</v>
      </c>
      <c r="AP43" s="128">
        <f>AO43*AL43*8*10^-6</f>
        <v>1.2446408839779004</v>
      </c>
      <c r="AQ43" s="128"/>
      <c r="AR43" s="59">
        <v>4800</v>
      </c>
      <c r="AS43" s="117">
        <f t="shared" si="166"/>
        <v>3200</v>
      </c>
      <c r="AT43" s="137">
        <f t="shared" si="167"/>
        <v>1.28</v>
      </c>
      <c r="AU43" s="117">
        <f t="shared" si="168"/>
        <v>1920</v>
      </c>
      <c r="AV43" s="127">
        <f t="shared" si="169"/>
        <v>1.2287999999999999</v>
      </c>
      <c r="AW43" s="138">
        <f t="shared" si="170"/>
        <v>1371.4285714285713</v>
      </c>
      <c r="AX43" s="127">
        <f t="shared" si="171"/>
        <v>1.2068571428571426</v>
      </c>
    </row>
    <row r="44" spans="1:50">
      <c r="A44" s="122"/>
      <c r="B44" s="110"/>
      <c r="C44" s="110"/>
      <c r="D44" s="110"/>
      <c r="E44" s="109"/>
      <c r="F44" s="110"/>
      <c r="G44" s="109"/>
      <c r="H44" s="110"/>
      <c r="I44" s="109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</row>
    <row r="45" spans="1:50">
      <c r="A45" s="123" t="s">
        <v>26</v>
      </c>
      <c r="B45" s="111"/>
      <c r="C45" s="112"/>
      <c r="D45" s="113"/>
      <c r="E45" s="114"/>
      <c r="F45" s="113"/>
      <c r="G45" s="114"/>
      <c r="H45" s="113"/>
      <c r="I45" s="114"/>
      <c r="J45" s="115"/>
      <c r="K45" s="116" t="s">
        <v>37</v>
      </c>
      <c r="L45" s="111"/>
      <c r="M45" s="111"/>
      <c r="N45" s="111"/>
      <c r="O45" s="111"/>
      <c r="P45" s="111"/>
      <c r="Q45" s="111"/>
      <c r="R45" s="111"/>
      <c r="S45" s="83"/>
      <c r="T45" s="111"/>
      <c r="U45" s="83"/>
      <c r="V45" s="111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8" spans="1:50">
      <c r="B48" s="59">
        <v>28</v>
      </c>
      <c r="P48" s="59">
        <v>28</v>
      </c>
    </row>
    <row r="49" spans="2:31">
      <c r="B49" s="59">
        <v>26.5</v>
      </c>
      <c r="J49" s="59">
        <f>2*4*2*4*128/1024/8</f>
        <v>1</v>
      </c>
      <c r="P49" s="59">
        <v>26.5</v>
      </c>
      <c r="X49" s="59" t="s">
        <v>28</v>
      </c>
      <c r="Y49" s="117">
        <f>16/0.465/1</f>
        <v>34.408602150537632</v>
      </c>
      <c r="Z49" s="59" t="s">
        <v>28</v>
      </c>
    </row>
    <row r="50" spans="2:31">
      <c r="B50" s="59">
        <f>B48/B49</f>
        <v>1.0566037735849056</v>
      </c>
      <c r="J50" s="59">
        <f>4*4*4*128/8/1024</f>
        <v>1</v>
      </c>
      <c r="P50" s="59">
        <f>P48/P49</f>
        <v>1.0566037735849056</v>
      </c>
      <c r="X50" s="59" t="s">
        <v>29</v>
      </c>
      <c r="Y50" s="59">
        <f>800/32</f>
        <v>25</v>
      </c>
      <c r="Z50" s="59" t="s">
        <v>29</v>
      </c>
      <c r="AD50" s="118">
        <f>AD51/0.75</f>
        <v>1.3333333333333333</v>
      </c>
      <c r="AE50" s="118">
        <f>AD50/2</f>
        <v>0.66666666666666663</v>
      </c>
    </row>
    <row r="51" spans="2:31">
      <c r="B51" s="59">
        <f>B50^2</f>
        <v>1.1164115343538625</v>
      </c>
      <c r="P51" s="59">
        <f>P50^2</f>
        <v>1.1164115343538625</v>
      </c>
      <c r="X51" s="59" t="s">
        <v>30</v>
      </c>
      <c r="Y51" s="59">
        <f>16/0.32/1</f>
        <v>50</v>
      </c>
      <c r="Z51" s="59" t="s">
        <v>30</v>
      </c>
      <c r="AD51" s="118">
        <f>AD8/0.75</f>
        <v>1</v>
      </c>
      <c r="AE51" s="118">
        <f>AD51/2</f>
        <v>0.5</v>
      </c>
    </row>
    <row r="52" spans="2:31">
      <c r="B52" s="59">
        <f>95*(0.9*B51+0.1)</f>
        <v>104.95318618725526</v>
      </c>
      <c r="P52" s="59">
        <f>95*(0.9*P51+0.1)</f>
        <v>104.95318618725526</v>
      </c>
    </row>
    <row r="53" spans="2:31">
      <c r="B53" s="59">
        <f>95*B51</f>
        <v>106.05909576361694</v>
      </c>
      <c r="P53" s="59">
        <f>95*P51</f>
        <v>106.05909576361694</v>
      </c>
    </row>
    <row r="55" spans="2:31">
      <c r="D55" s="59">
        <v>3</v>
      </c>
      <c r="E55" s="85">
        <v>3</v>
      </c>
      <c r="F55" s="59">
        <v>3</v>
      </c>
    </row>
    <row r="56" spans="2:31">
      <c r="D56" s="59">
        <f>1/D55</f>
        <v>0.33333333333333331</v>
      </c>
      <c r="E56" s="59">
        <f>1/E55</f>
        <v>0.33333333333333331</v>
      </c>
      <c r="F56" s="59">
        <f>1/F55</f>
        <v>0.33333333333333331</v>
      </c>
      <c r="J56" s="85">
        <f>(D56+E56+F56)/0.5</f>
        <v>2</v>
      </c>
      <c r="N56" s="118">
        <f>1/J56-1</f>
        <v>-0.5</v>
      </c>
    </row>
    <row r="57" spans="2:31">
      <c r="D57" s="59">
        <f>D56/2</f>
        <v>0.16666666666666666</v>
      </c>
      <c r="E57" s="59">
        <f>E56/2</f>
        <v>0.16666666666666666</v>
      </c>
      <c r="F57" s="59">
        <f>F56</f>
        <v>0.33333333333333331</v>
      </c>
      <c r="J57" s="85">
        <f>(D57+E57+F57)/0.5</f>
        <v>1.3333333333333333</v>
      </c>
      <c r="N57" s="118">
        <f>1/J57-1</f>
        <v>-0.25</v>
      </c>
    </row>
    <row r="58" spans="2:31">
      <c r="D58" s="59">
        <f>D57*0.75</f>
        <v>0.125</v>
      </c>
      <c r="E58" s="59">
        <f>E57</f>
        <v>0.16666666666666666</v>
      </c>
      <c r="F58" s="59">
        <f>F57</f>
        <v>0.33333333333333331</v>
      </c>
      <c r="J58" s="85">
        <f>(D58+E58+F58)/0.5</f>
        <v>1.25</v>
      </c>
      <c r="N58" s="118">
        <f>1/J58-1</f>
        <v>-0.19999999999999996</v>
      </c>
    </row>
  </sheetData>
  <mergeCells count="15">
    <mergeCell ref="A19:A20"/>
    <mergeCell ref="A8:A9"/>
    <mergeCell ref="D3:E3"/>
    <mergeCell ref="F3:G3"/>
    <mergeCell ref="H3:I3"/>
    <mergeCell ref="A13:A14"/>
    <mergeCell ref="A17:A18"/>
    <mergeCell ref="A42:A43"/>
    <mergeCell ref="A40:A41"/>
    <mergeCell ref="A22:A23"/>
    <mergeCell ref="A24:A25"/>
    <mergeCell ref="A27:A28"/>
    <mergeCell ref="A31:A32"/>
    <mergeCell ref="A33:A34"/>
    <mergeCell ref="A36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5605-E6D8-DE4F-AB35-2887A061A392}">
  <dimension ref="A1:AI32"/>
  <sheetViews>
    <sheetView topLeftCell="P1" zoomScale="150" zoomScaleNormal="150" workbookViewId="0">
      <selection activeCell="Y38" sqref="Y38"/>
    </sheetView>
  </sheetViews>
  <sheetFormatPr baseColWidth="10" defaultRowHeight="16"/>
  <cols>
    <col min="1" max="1" width="26.1640625" customWidth="1"/>
    <col min="2" max="2" width="9.5" style="1" bestFit="1" customWidth="1"/>
    <col min="3" max="3" width="6.5" style="1" bestFit="1" customWidth="1"/>
    <col min="4" max="4" width="4.6640625" bestFit="1" customWidth="1"/>
    <col min="5" max="5" width="6.5" style="1" bestFit="1" customWidth="1"/>
    <col min="6" max="6" width="4.6640625" bestFit="1" customWidth="1"/>
    <col min="7" max="7" width="3.83203125" style="1" bestFit="1" customWidth="1"/>
    <col min="8" max="8" width="4.6640625" bestFit="1" customWidth="1"/>
    <col min="9" max="9" width="11.6640625" style="1" bestFit="1" customWidth="1"/>
    <col min="10" max="10" width="8.1640625" style="1" customWidth="1"/>
    <col min="11" max="11" width="7" style="1" bestFit="1" customWidth="1"/>
    <col min="12" max="12" width="8.33203125" style="1" bestFit="1" customWidth="1"/>
    <col min="13" max="13" width="11.1640625" style="1" customWidth="1"/>
    <col min="14" max="14" width="8.33203125" style="1" bestFit="1" customWidth="1"/>
    <col min="15" max="15" width="7.83203125" style="1" bestFit="1" customWidth="1"/>
    <col min="16" max="16" width="9" style="1" customWidth="1"/>
    <col min="17" max="17" width="10.83203125" style="1"/>
    <col min="18" max="18" width="7.83203125" style="1" customWidth="1"/>
    <col min="19" max="19" width="11.5" style="1" customWidth="1"/>
    <col min="20" max="20" width="9" style="1" customWidth="1"/>
    <col min="21" max="21" width="8.6640625" style="1" customWidth="1"/>
    <col min="22" max="22" width="7.33203125" style="1" bestFit="1" customWidth="1"/>
    <col min="25" max="25" width="15.5" style="59" bestFit="1" customWidth="1"/>
    <col min="26" max="26" width="6.6640625" style="59" bestFit="1" customWidth="1"/>
    <col min="27" max="32" width="10.83203125" style="59"/>
    <col min="33" max="33" width="8.1640625" style="59" customWidth="1"/>
    <col min="34" max="35" width="10.83203125" style="59"/>
  </cols>
  <sheetData>
    <row r="1" spans="1:35">
      <c r="A1" s="35"/>
      <c r="B1" s="36"/>
      <c r="C1" s="36"/>
      <c r="D1" s="35"/>
      <c r="E1" s="36"/>
      <c r="F1" s="35"/>
      <c r="G1" s="36"/>
      <c r="H1" s="3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 t="s">
        <v>18</v>
      </c>
      <c r="U1" s="37">
        <f>1/3</f>
        <v>0.33333333333333331</v>
      </c>
      <c r="V1" s="36"/>
    </row>
    <row r="2" spans="1:35" ht="17" thickBot="1">
      <c r="A2" s="38"/>
      <c r="B2" s="39"/>
      <c r="C2" s="39"/>
      <c r="D2" s="38"/>
      <c r="E2" s="39"/>
      <c r="F2" s="38"/>
      <c r="G2" s="39"/>
      <c r="H2" s="38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 t="s">
        <v>19</v>
      </c>
      <c r="U2" s="40">
        <f>(1-U1)/2</f>
        <v>0.33333333333333337</v>
      </c>
      <c r="V2" s="39"/>
    </row>
    <row r="3" spans="1:35" ht="37">
      <c r="A3" s="18"/>
      <c r="B3" s="19" t="s">
        <v>36</v>
      </c>
      <c r="C3" s="131" t="s">
        <v>1</v>
      </c>
      <c r="D3" s="131"/>
      <c r="E3" s="131" t="s">
        <v>2</v>
      </c>
      <c r="F3" s="131"/>
      <c r="G3" s="131" t="s">
        <v>3</v>
      </c>
      <c r="H3" s="131"/>
      <c r="I3" s="19" t="s">
        <v>41</v>
      </c>
      <c r="J3" s="19" t="s">
        <v>21</v>
      </c>
      <c r="K3" s="19" t="s">
        <v>14</v>
      </c>
      <c r="L3" s="19" t="s">
        <v>27</v>
      </c>
      <c r="M3" s="19" t="s">
        <v>45</v>
      </c>
      <c r="N3" s="19" t="s">
        <v>16</v>
      </c>
      <c r="O3" s="19" t="s">
        <v>40</v>
      </c>
      <c r="P3" s="19" t="s">
        <v>42</v>
      </c>
      <c r="Q3" s="19" t="s">
        <v>43</v>
      </c>
      <c r="R3" s="19" t="s">
        <v>22</v>
      </c>
      <c r="S3" s="19" t="s">
        <v>44</v>
      </c>
      <c r="T3" s="19" t="s">
        <v>20</v>
      </c>
      <c r="U3" s="19" t="s">
        <v>39</v>
      </c>
      <c r="V3" s="20" t="s">
        <v>38</v>
      </c>
      <c r="Y3" s="66" t="s">
        <v>63</v>
      </c>
      <c r="Z3" s="60" t="s">
        <v>21</v>
      </c>
      <c r="AA3" s="67" t="s">
        <v>64</v>
      </c>
      <c r="AB3" s="67" t="s">
        <v>65</v>
      </c>
      <c r="AC3" s="67" t="s">
        <v>66</v>
      </c>
      <c r="AD3" s="67" t="s">
        <v>67</v>
      </c>
      <c r="AE3" s="67" t="s">
        <v>68</v>
      </c>
      <c r="AF3" s="67" t="s">
        <v>69</v>
      </c>
      <c r="AG3" s="60" t="s">
        <v>72</v>
      </c>
      <c r="AH3" s="60" t="s">
        <v>73</v>
      </c>
      <c r="AI3" s="61" t="s">
        <v>74</v>
      </c>
    </row>
    <row r="4" spans="1:35" hidden="1">
      <c r="A4" s="21" t="s">
        <v>28</v>
      </c>
      <c r="B4" s="4" t="s">
        <v>34</v>
      </c>
      <c r="C4" s="4"/>
      <c r="D4" s="4"/>
      <c r="E4" s="4"/>
      <c r="F4" s="4"/>
      <c r="G4" s="4"/>
      <c r="H4" s="4"/>
      <c r="I4" s="6"/>
      <c r="J4" s="6"/>
      <c r="K4" s="6"/>
      <c r="L4" s="6">
        <v>1</v>
      </c>
      <c r="M4" s="6"/>
      <c r="N4" s="6">
        <v>16</v>
      </c>
      <c r="O4" s="6">
        <v>16</v>
      </c>
      <c r="P4" s="6">
        <v>208</v>
      </c>
      <c r="Q4" s="7">
        <f t="shared" ref="Q4:Q16" si="0">O4/P4*8</f>
        <v>0.61538461538461542</v>
      </c>
      <c r="R4" s="8">
        <f>S4*O4</f>
        <v>550.53763440860212</v>
      </c>
      <c r="S4" s="8">
        <f>16/0.465/L4</f>
        <v>34.408602150537632</v>
      </c>
      <c r="T4" s="6"/>
      <c r="U4" s="6"/>
      <c r="V4" s="22"/>
      <c r="Y4" s="68" t="str">
        <f t="shared" ref="Y4:Y17" si="1">B4</f>
        <v>2Kx4KX2D</v>
      </c>
      <c r="Z4" s="62">
        <v>2</v>
      </c>
      <c r="AA4" s="62">
        <f>O4*8</f>
        <v>128</v>
      </c>
      <c r="AB4" s="62">
        <f>N4</f>
        <v>16</v>
      </c>
      <c r="AC4" s="63">
        <f>P4</f>
        <v>208</v>
      </c>
      <c r="AD4" s="63">
        <f>R4</f>
        <v>550.53763440860212</v>
      </c>
      <c r="AE4" s="64">
        <f>Q4</f>
        <v>0.61538461538461542</v>
      </c>
      <c r="AF4" s="63">
        <f>S4</f>
        <v>34.408602150537632</v>
      </c>
      <c r="AG4" s="65"/>
      <c r="AH4" s="65"/>
      <c r="AI4" s="69"/>
    </row>
    <row r="5" spans="1:35" hidden="1">
      <c r="A5" s="21" t="s">
        <v>29</v>
      </c>
      <c r="B5" s="4" t="s">
        <v>4</v>
      </c>
      <c r="C5" s="4"/>
      <c r="D5" s="4"/>
      <c r="E5" s="4"/>
      <c r="F5" s="4"/>
      <c r="G5" s="4"/>
      <c r="H5" s="4"/>
      <c r="I5" s="6"/>
      <c r="J5" s="6"/>
      <c r="K5" s="6"/>
      <c r="L5" s="6">
        <v>1</v>
      </c>
      <c r="M5" s="6"/>
      <c r="N5" s="6">
        <v>32</v>
      </c>
      <c r="O5" s="6">
        <v>32</v>
      </c>
      <c r="P5" s="6">
        <v>199</v>
      </c>
      <c r="Q5" s="7">
        <f t="shared" si="0"/>
        <v>1.2864321608040201</v>
      </c>
      <c r="R5" s="8">
        <v>800</v>
      </c>
      <c r="S5" s="8">
        <f>R5/O5</f>
        <v>25</v>
      </c>
      <c r="T5" s="9">
        <f>T6/0.75</f>
        <v>1.3333333333333333</v>
      </c>
      <c r="U5" s="5">
        <f t="shared" ref="U5:U11" si="2">T5*O5/$O$6</f>
        <v>1.3333333333333333</v>
      </c>
      <c r="V5" s="23">
        <f t="shared" ref="V5:V15" si="3">(T5/$T$6)/(S5/$S$6)</f>
        <v>2.6666666666666665</v>
      </c>
      <c r="Y5" s="68" t="str">
        <f t="shared" si="1"/>
        <v>4Kx4Kx4D</v>
      </c>
      <c r="Z5" s="62">
        <v>4</v>
      </c>
      <c r="AA5" s="62">
        <f t="shared" ref="AA5:AA17" si="4">O5*8</f>
        <v>256</v>
      </c>
      <c r="AB5" s="62">
        <f t="shared" ref="AB5:AB17" si="5">N5</f>
        <v>32</v>
      </c>
      <c r="AC5" s="63">
        <f t="shared" ref="AC5:AC17" si="6">P5</f>
        <v>199</v>
      </c>
      <c r="AD5" s="63">
        <f t="shared" ref="AD5:AD17" si="7">R5</f>
        <v>800</v>
      </c>
      <c r="AE5" s="64">
        <f t="shared" ref="AE5:AE17" si="8">Q5</f>
        <v>1.2864321608040201</v>
      </c>
      <c r="AF5" s="63">
        <f t="shared" ref="AF5:AF17" si="9">S5</f>
        <v>25</v>
      </c>
      <c r="AG5" s="65">
        <f t="shared" ref="AG5:AG17" si="10">T5</f>
        <v>1.3333333333333333</v>
      </c>
      <c r="AH5" s="65">
        <f t="shared" ref="AH5:AH17" si="11">U5</f>
        <v>1.3333333333333333</v>
      </c>
      <c r="AI5" s="69">
        <f t="shared" ref="AI5:AI17" si="12">V5</f>
        <v>2.6666666666666665</v>
      </c>
    </row>
    <row r="6" spans="1:35" hidden="1">
      <c r="A6" s="21" t="s">
        <v>35</v>
      </c>
      <c r="B6" s="4" t="s">
        <v>4</v>
      </c>
      <c r="C6" s="4"/>
      <c r="D6" s="4"/>
      <c r="E6" s="4"/>
      <c r="F6" s="4"/>
      <c r="G6" s="4"/>
      <c r="H6" s="4"/>
      <c r="I6" s="6"/>
      <c r="J6" s="6"/>
      <c r="K6" s="6"/>
      <c r="L6" s="6">
        <v>1</v>
      </c>
      <c r="M6" s="6"/>
      <c r="N6" s="6">
        <v>32</v>
      </c>
      <c r="O6" s="6">
        <v>32</v>
      </c>
      <c r="P6" s="6">
        <v>134</v>
      </c>
      <c r="Q6" s="7">
        <f t="shared" si="0"/>
        <v>1.9104477611940298</v>
      </c>
      <c r="R6" s="8">
        <f t="shared" ref="R6:R17" si="13">S6*O6</f>
        <v>1600</v>
      </c>
      <c r="S6" s="4">
        <f t="shared" ref="S6:S16" si="14">16/0.32/L6</f>
        <v>50</v>
      </c>
      <c r="T6" s="47">
        <f>T7/0.75</f>
        <v>1</v>
      </c>
      <c r="U6" s="48">
        <f t="shared" si="2"/>
        <v>1</v>
      </c>
      <c r="V6" s="49">
        <f t="shared" si="3"/>
        <v>1</v>
      </c>
      <c r="Y6" s="68" t="str">
        <f t="shared" si="1"/>
        <v>4Kx4Kx4D</v>
      </c>
      <c r="Z6" s="62">
        <v>4</v>
      </c>
      <c r="AA6" s="62">
        <f t="shared" si="4"/>
        <v>256</v>
      </c>
      <c r="AB6" s="62">
        <f t="shared" si="5"/>
        <v>32</v>
      </c>
      <c r="AC6" s="63">
        <f t="shared" si="6"/>
        <v>134</v>
      </c>
      <c r="AD6" s="63">
        <f t="shared" si="7"/>
        <v>1600</v>
      </c>
      <c r="AE6" s="64">
        <f t="shared" si="8"/>
        <v>1.9104477611940298</v>
      </c>
      <c r="AF6" s="63">
        <f t="shared" si="9"/>
        <v>50</v>
      </c>
      <c r="AG6" s="65">
        <f t="shared" si="10"/>
        <v>1</v>
      </c>
      <c r="AH6" s="65">
        <f t="shared" si="11"/>
        <v>1</v>
      </c>
      <c r="AI6" s="69">
        <f t="shared" si="12"/>
        <v>1</v>
      </c>
    </row>
    <row r="7" spans="1:35">
      <c r="A7" s="21" t="s">
        <v>31</v>
      </c>
      <c r="B7" s="4" t="s">
        <v>4</v>
      </c>
      <c r="C7" s="10" t="s">
        <v>9</v>
      </c>
      <c r="D7" s="11">
        <f>1/3</f>
        <v>0.33333333333333331</v>
      </c>
      <c r="E7" s="10" t="s">
        <v>9</v>
      </c>
      <c r="F7" s="11">
        <f>1/3</f>
        <v>0.33333333333333331</v>
      </c>
      <c r="G7" s="4" t="s">
        <v>0</v>
      </c>
      <c r="H7" s="11">
        <f>1/3</f>
        <v>0.33333333333333331</v>
      </c>
      <c r="I7" s="4">
        <f>(D7+F7+H7)/1</f>
        <v>1</v>
      </c>
      <c r="J7" s="4">
        <v>4</v>
      </c>
      <c r="K7" s="5">
        <f t="shared" ref="K7:K17" si="15">1/I7</f>
        <v>1</v>
      </c>
      <c r="L7" s="4">
        <f>4*4*4*16/1024</f>
        <v>1</v>
      </c>
      <c r="M7" s="53">
        <v>1</v>
      </c>
      <c r="N7" s="4">
        <v>64</v>
      </c>
      <c r="O7" s="4">
        <f t="shared" ref="O7:O17" si="16">L7*N7</f>
        <v>64</v>
      </c>
      <c r="P7" s="4">
        <v>175</v>
      </c>
      <c r="Q7" s="7">
        <f t="shared" si="0"/>
        <v>2.9257142857142857</v>
      </c>
      <c r="R7" s="8">
        <f t="shared" si="13"/>
        <v>3200</v>
      </c>
      <c r="S7" s="4">
        <f t="shared" si="14"/>
        <v>50</v>
      </c>
      <c r="T7" s="5">
        <f t="shared" ref="T7:T12" si="17">($U$1+$U$2*J7/2)*75%*$Q$7/Q7</f>
        <v>0.75</v>
      </c>
      <c r="U7" s="5">
        <f t="shared" si="2"/>
        <v>1.5</v>
      </c>
      <c r="V7" s="23">
        <f t="shared" si="3"/>
        <v>0.75</v>
      </c>
      <c r="Y7" s="68" t="str">
        <f t="shared" si="1"/>
        <v>4Kx4Kx4D</v>
      </c>
      <c r="Z7" s="62">
        <f t="shared" ref="Z7:Z17" si="18">J7</f>
        <v>4</v>
      </c>
      <c r="AA7" s="62">
        <f t="shared" si="4"/>
        <v>512</v>
      </c>
      <c r="AB7" s="62">
        <f t="shared" si="5"/>
        <v>64</v>
      </c>
      <c r="AC7" s="63">
        <f t="shared" si="6"/>
        <v>175</v>
      </c>
      <c r="AD7" s="63">
        <f t="shared" si="7"/>
        <v>3200</v>
      </c>
      <c r="AE7" s="64">
        <f t="shared" si="8"/>
        <v>2.9257142857142857</v>
      </c>
      <c r="AF7" s="63">
        <f t="shared" si="9"/>
        <v>50</v>
      </c>
      <c r="AG7" s="65">
        <f t="shared" si="10"/>
        <v>0.75</v>
      </c>
      <c r="AH7" s="65">
        <f t="shared" si="11"/>
        <v>1.5</v>
      </c>
      <c r="AI7" s="69">
        <f t="shared" si="12"/>
        <v>0.75</v>
      </c>
    </row>
    <row r="8" spans="1:35">
      <c r="A8" s="21" t="s">
        <v>33</v>
      </c>
      <c r="B8" s="4" t="s">
        <v>15</v>
      </c>
      <c r="C8" s="10" t="s">
        <v>9</v>
      </c>
      <c r="D8" s="11">
        <f>1/3</f>
        <v>0.33333333333333331</v>
      </c>
      <c r="E8" s="10" t="s">
        <v>9</v>
      </c>
      <c r="F8" s="11">
        <f>1/3</f>
        <v>0.33333333333333331</v>
      </c>
      <c r="G8" s="4" t="s">
        <v>0</v>
      </c>
      <c r="H8" s="11">
        <f>1/3</f>
        <v>0.33333333333333331</v>
      </c>
      <c r="I8" s="4">
        <f>(D8+F8+H8)/1</f>
        <v>1</v>
      </c>
      <c r="J8" s="4">
        <v>2</v>
      </c>
      <c r="K8" s="5">
        <f>1/I8</f>
        <v>1</v>
      </c>
      <c r="L8" s="4">
        <f>4*4*2*16/1024</f>
        <v>0.5</v>
      </c>
      <c r="M8" s="53">
        <v>1</v>
      </c>
      <c r="N8" s="4">
        <v>64</v>
      </c>
      <c r="O8" s="4">
        <f>L8*N8</f>
        <v>32</v>
      </c>
      <c r="P8" s="4">
        <f>P7</f>
        <v>175</v>
      </c>
      <c r="Q8" s="7">
        <f>O8/P8*8</f>
        <v>1.4628571428571429</v>
      </c>
      <c r="R8" s="8">
        <f>S8*O8</f>
        <v>3200</v>
      </c>
      <c r="S8" s="4">
        <f>16/0.32/L8</f>
        <v>100</v>
      </c>
      <c r="T8" s="5">
        <f t="shared" si="17"/>
        <v>1</v>
      </c>
      <c r="U8" s="5">
        <f>T8*O8/$O$6</f>
        <v>1</v>
      </c>
      <c r="V8" s="23">
        <f>(T8/$T$6)/(S8/$S$6)</f>
        <v>0.5</v>
      </c>
      <c r="Y8" s="68" t="str">
        <f t="shared" si="1"/>
        <v>4Kx4Kx2D</v>
      </c>
      <c r="Z8" s="62">
        <f t="shared" si="18"/>
        <v>2</v>
      </c>
      <c r="AA8" s="62">
        <f t="shared" si="4"/>
        <v>256</v>
      </c>
      <c r="AB8" s="62">
        <f t="shared" si="5"/>
        <v>64</v>
      </c>
      <c r="AC8" s="63">
        <f t="shared" si="6"/>
        <v>175</v>
      </c>
      <c r="AD8" s="63">
        <f t="shared" si="7"/>
        <v>3200</v>
      </c>
      <c r="AE8" s="64">
        <f t="shared" si="8"/>
        <v>1.4628571428571429</v>
      </c>
      <c r="AF8" s="63">
        <f t="shared" si="9"/>
        <v>100</v>
      </c>
      <c r="AG8" s="65">
        <f t="shared" si="10"/>
        <v>1</v>
      </c>
      <c r="AH8" s="65">
        <f t="shared" si="11"/>
        <v>1</v>
      </c>
      <c r="AI8" s="69">
        <f t="shared" si="12"/>
        <v>0.5</v>
      </c>
    </row>
    <row r="9" spans="1:35">
      <c r="A9" s="21" t="s">
        <v>32</v>
      </c>
      <c r="B9" s="4" t="s">
        <v>4</v>
      </c>
      <c r="C9" s="10" t="s">
        <v>9</v>
      </c>
      <c r="D9" s="11">
        <f>1/3</f>
        <v>0.33333333333333331</v>
      </c>
      <c r="E9" s="10" t="s">
        <v>9</v>
      </c>
      <c r="F9" s="11">
        <f>1/3</f>
        <v>0.33333333333333331</v>
      </c>
      <c r="G9" s="4" t="s">
        <v>0</v>
      </c>
      <c r="H9" s="11">
        <f>1/3</f>
        <v>0.33333333333333331</v>
      </c>
      <c r="I9" s="4">
        <f>(D9+F9+H9)/1</f>
        <v>1</v>
      </c>
      <c r="J9" s="4">
        <v>4</v>
      </c>
      <c r="K9" s="5">
        <f t="shared" si="15"/>
        <v>1</v>
      </c>
      <c r="L9" s="4">
        <f>4*4*4*16/1024</f>
        <v>1</v>
      </c>
      <c r="M9" s="53">
        <v>1</v>
      </c>
      <c r="N9" s="4">
        <v>32</v>
      </c>
      <c r="O9" s="4">
        <f t="shared" si="16"/>
        <v>32</v>
      </c>
      <c r="P9" s="4">
        <v>95</v>
      </c>
      <c r="Q9" s="7">
        <f t="shared" si="0"/>
        <v>2.6947368421052631</v>
      </c>
      <c r="R9" s="8">
        <f t="shared" si="13"/>
        <v>1600</v>
      </c>
      <c r="S9" s="4">
        <f t="shared" si="14"/>
        <v>50</v>
      </c>
      <c r="T9" s="5">
        <f t="shared" si="17"/>
        <v>0.81428571428571439</v>
      </c>
      <c r="U9" s="5">
        <f>T9*O9/$O$6</f>
        <v>0.81428571428571439</v>
      </c>
      <c r="V9" s="23">
        <f>(T9/$T$6)/(S9/$S$6)</f>
        <v>0.81428571428571439</v>
      </c>
      <c r="Y9" s="68" t="str">
        <f t="shared" si="1"/>
        <v>4Kx4Kx4D</v>
      </c>
      <c r="Z9" s="62">
        <f t="shared" si="18"/>
        <v>4</v>
      </c>
      <c r="AA9" s="62">
        <f t="shared" si="4"/>
        <v>256</v>
      </c>
      <c r="AB9" s="62">
        <f t="shared" si="5"/>
        <v>32</v>
      </c>
      <c r="AC9" s="63">
        <f t="shared" si="6"/>
        <v>95</v>
      </c>
      <c r="AD9" s="63">
        <f t="shared" si="7"/>
        <v>1600</v>
      </c>
      <c r="AE9" s="64">
        <f t="shared" si="8"/>
        <v>2.6947368421052631</v>
      </c>
      <c r="AF9" s="63">
        <f t="shared" si="9"/>
        <v>50</v>
      </c>
      <c r="AG9" s="65">
        <f t="shared" si="10"/>
        <v>0.81428571428571439</v>
      </c>
      <c r="AH9" s="65">
        <f t="shared" si="11"/>
        <v>0.81428571428571439</v>
      </c>
      <c r="AI9" s="69">
        <f t="shared" si="12"/>
        <v>0.81428571428571439</v>
      </c>
    </row>
    <row r="10" spans="1:35">
      <c r="A10" s="21" t="s">
        <v>70</v>
      </c>
      <c r="B10" s="4" t="s">
        <v>4</v>
      </c>
      <c r="C10" s="10" t="s">
        <v>9</v>
      </c>
      <c r="D10" s="11">
        <f>1/3</f>
        <v>0.33333333333333331</v>
      </c>
      <c r="E10" s="10" t="s">
        <v>9</v>
      </c>
      <c r="F10" s="11">
        <f>1/3</f>
        <v>0.33333333333333331</v>
      </c>
      <c r="G10" s="4" t="s">
        <v>0</v>
      </c>
      <c r="H10" s="11">
        <f>1/3</f>
        <v>0.33333333333333331</v>
      </c>
      <c r="I10" s="4">
        <f>(D10+F10+H10)/1</f>
        <v>1</v>
      </c>
      <c r="J10" s="4">
        <v>2</v>
      </c>
      <c r="K10" s="5">
        <f t="shared" ref="K10" si="19">1/I10</f>
        <v>1</v>
      </c>
      <c r="L10" s="4">
        <v>0.5</v>
      </c>
      <c r="M10" s="53">
        <v>1</v>
      </c>
      <c r="N10" s="4">
        <v>32</v>
      </c>
      <c r="O10" s="4">
        <f t="shared" ref="O10" si="20">L10*N10</f>
        <v>16</v>
      </c>
      <c r="P10" s="4">
        <v>95</v>
      </c>
      <c r="Q10" s="7">
        <f>O10/P10*8</f>
        <v>1.3473684210526315</v>
      </c>
      <c r="R10" s="8">
        <f>S10*O10</f>
        <v>1600</v>
      </c>
      <c r="S10" s="4">
        <f>16/0.32/L10</f>
        <v>100</v>
      </c>
      <c r="T10" s="5">
        <f t="shared" si="17"/>
        <v>1.0857142857142856</v>
      </c>
      <c r="U10" s="5">
        <f t="shared" ref="U10" si="21">T10*O10/$O$6</f>
        <v>0.54285714285714282</v>
      </c>
      <c r="V10" s="23">
        <f>(T10/$T$6)/(S10/$S$6)</f>
        <v>0.54285714285714282</v>
      </c>
      <c r="Y10" s="68" t="str">
        <f t="shared" si="1"/>
        <v>4Kx4Kx4D</v>
      </c>
      <c r="Z10" s="62">
        <f t="shared" si="18"/>
        <v>2</v>
      </c>
      <c r="AA10" s="62">
        <f t="shared" si="4"/>
        <v>128</v>
      </c>
      <c r="AB10" s="62">
        <f t="shared" si="5"/>
        <v>32</v>
      </c>
      <c r="AC10" s="63">
        <f t="shared" si="6"/>
        <v>95</v>
      </c>
      <c r="AD10" s="63">
        <f t="shared" si="7"/>
        <v>1600</v>
      </c>
      <c r="AE10" s="64">
        <f t="shared" si="8"/>
        <v>1.3473684210526315</v>
      </c>
      <c r="AF10" s="63">
        <f t="shared" si="9"/>
        <v>100</v>
      </c>
      <c r="AG10" s="65">
        <f t="shared" si="10"/>
        <v>1.0857142857142856</v>
      </c>
      <c r="AH10" s="65">
        <f t="shared" si="11"/>
        <v>0.54285714285714282</v>
      </c>
      <c r="AI10" s="69">
        <f t="shared" si="12"/>
        <v>0.54285714285714282</v>
      </c>
    </row>
    <row r="11" spans="1:35">
      <c r="A11" s="24" t="s">
        <v>23</v>
      </c>
      <c r="B11" s="4" t="s">
        <v>5</v>
      </c>
      <c r="C11" s="12" t="s">
        <v>10</v>
      </c>
      <c r="D11" s="13">
        <f>D7/2</f>
        <v>0.16666666666666666</v>
      </c>
      <c r="E11" s="14" t="s">
        <v>9</v>
      </c>
      <c r="F11" s="15">
        <f>F7</f>
        <v>0.33333333333333331</v>
      </c>
      <c r="G11" s="12" t="s">
        <v>0</v>
      </c>
      <c r="H11" s="15">
        <f>H7</f>
        <v>0.33333333333333331</v>
      </c>
      <c r="I11" s="16">
        <f t="shared" ref="I11:I17" si="22">(D11+F11+H11)/0.5</f>
        <v>1.6666666666666665</v>
      </c>
      <c r="J11" s="8">
        <v>4</v>
      </c>
      <c r="K11" s="5">
        <f t="shared" si="15"/>
        <v>0.60000000000000009</v>
      </c>
      <c r="L11" s="4">
        <f>2*4*4*16/1024</f>
        <v>0.5</v>
      </c>
      <c r="M11" s="53">
        <v>0.5</v>
      </c>
      <c r="N11" s="4">
        <v>64</v>
      </c>
      <c r="O11" s="4">
        <f t="shared" si="16"/>
        <v>32</v>
      </c>
      <c r="P11" s="8">
        <f>P9*(I11*75%)*N11/N9*M11</f>
        <v>118.75</v>
      </c>
      <c r="Q11" s="7">
        <f t="shared" si="0"/>
        <v>2.1557894736842105</v>
      </c>
      <c r="R11" s="8">
        <f t="shared" si="13"/>
        <v>3200</v>
      </c>
      <c r="S11" s="4">
        <f t="shared" si="14"/>
        <v>100</v>
      </c>
      <c r="T11" s="5">
        <f t="shared" si="17"/>
        <v>1.017857142857143</v>
      </c>
      <c r="U11" s="5">
        <f t="shared" si="2"/>
        <v>1.017857142857143</v>
      </c>
      <c r="V11" s="23">
        <f t="shared" si="3"/>
        <v>0.50892857142857151</v>
      </c>
      <c r="Y11" s="68" t="str">
        <f t="shared" si="1"/>
        <v>2Kx4Kx4D</v>
      </c>
      <c r="Z11" s="62">
        <f t="shared" si="18"/>
        <v>4</v>
      </c>
      <c r="AA11" s="62">
        <f t="shared" si="4"/>
        <v>256</v>
      </c>
      <c r="AB11" s="62">
        <f t="shared" si="5"/>
        <v>64</v>
      </c>
      <c r="AC11" s="63">
        <f t="shared" si="6"/>
        <v>118.75</v>
      </c>
      <c r="AD11" s="63">
        <f t="shared" si="7"/>
        <v>3200</v>
      </c>
      <c r="AE11" s="64">
        <f t="shared" si="8"/>
        <v>2.1557894736842105</v>
      </c>
      <c r="AF11" s="63">
        <f t="shared" si="9"/>
        <v>100</v>
      </c>
      <c r="AG11" s="65">
        <f t="shared" si="10"/>
        <v>1.017857142857143</v>
      </c>
      <c r="AH11" s="65">
        <f t="shared" si="11"/>
        <v>1.017857142857143</v>
      </c>
      <c r="AI11" s="69">
        <f t="shared" si="12"/>
        <v>0.50892857142857151</v>
      </c>
    </row>
    <row r="12" spans="1:35">
      <c r="A12" s="24" t="s">
        <v>71</v>
      </c>
      <c r="B12" s="4" t="s">
        <v>5</v>
      </c>
      <c r="C12" s="12" t="s">
        <v>10</v>
      </c>
      <c r="D12" s="13">
        <f>D8/2</f>
        <v>0.16666666666666666</v>
      </c>
      <c r="E12" s="14" t="s">
        <v>9</v>
      </c>
      <c r="F12" s="15">
        <f>F8</f>
        <v>0.33333333333333331</v>
      </c>
      <c r="G12" s="12" t="s">
        <v>0</v>
      </c>
      <c r="H12" s="15">
        <f>H8</f>
        <v>0.33333333333333331</v>
      </c>
      <c r="I12" s="16">
        <f t="shared" ref="I12" si="23">(D12+F12+H12)/0.5</f>
        <v>1.6666666666666665</v>
      </c>
      <c r="J12" s="8">
        <v>2</v>
      </c>
      <c r="K12" s="5">
        <f t="shared" ref="K12" si="24">1/I12</f>
        <v>0.60000000000000009</v>
      </c>
      <c r="L12" s="4">
        <v>0.25</v>
      </c>
      <c r="M12" s="53">
        <v>0.5</v>
      </c>
      <c r="N12" s="4">
        <v>64</v>
      </c>
      <c r="O12" s="4">
        <f>L12*N12</f>
        <v>16</v>
      </c>
      <c r="P12" s="8">
        <f>P10*(I12*75%)*N12/N10*M12</f>
        <v>118.75</v>
      </c>
      <c r="Q12" s="7">
        <f>O12/P12*8</f>
        <v>1.0778947368421052</v>
      </c>
      <c r="R12" s="8">
        <f>S12*O12</f>
        <v>3200</v>
      </c>
      <c r="S12" s="4">
        <f>16/0.32/L12</f>
        <v>200</v>
      </c>
      <c r="T12" s="5">
        <f t="shared" si="17"/>
        <v>1.3571428571428572</v>
      </c>
      <c r="U12" s="5">
        <f t="shared" ref="U12" si="25">T12*O12/$O$6</f>
        <v>0.6785714285714286</v>
      </c>
      <c r="V12" s="23">
        <f t="shared" ref="V12" si="26">(T12/$T$6)/(S12/$S$6)</f>
        <v>0.3392857142857143</v>
      </c>
      <c r="Y12" s="68" t="str">
        <f t="shared" si="1"/>
        <v>2Kx4Kx4D</v>
      </c>
      <c r="Z12" s="62">
        <f t="shared" si="18"/>
        <v>2</v>
      </c>
      <c r="AA12" s="62">
        <f t="shared" si="4"/>
        <v>128</v>
      </c>
      <c r="AB12" s="62">
        <f t="shared" si="5"/>
        <v>64</v>
      </c>
      <c r="AC12" s="63">
        <f t="shared" si="6"/>
        <v>118.75</v>
      </c>
      <c r="AD12" s="63">
        <f t="shared" si="7"/>
        <v>3200</v>
      </c>
      <c r="AE12" s="64">
        <f t="shared" si="8"/>
        <v>1.0778947368421052</v>
      </c>
      <c r="AF12" s="63">
        <f t="shared" si="9"/>
        <v>200</v>
      </c>
      <c r="AG12" s="65">
        <f t="shared" si="10"/>
        <v>1.3571428571428572</v>
      </c>
      <c r="AH12" s="65">
        <f t="shared" si="11"/>
        <v>0.6785714285714286</v>
      </c>
      <c r="AI12" s="69">
        <f t="shared" si="12"/>
        <v>0.3392857142857143</v>
      </c>
    </row>
    <row r="13" spans="1:35" hidden="1">
      <c r="A13" s="24" t="s">
        <v>46</v>
      </c>
      <c r="B13" s="4" t="s">
        <v>8</v>
      </c>
      <c r="C13" s="14" t="s">
        <v>9</v>
      </c>
      <c r="D13" s="15">
        <f>D7</f>
        <v>0.33333333333333331</v>
      </c>
      <c r="E13" s="12" t="s">
        <v>10</v>
      </c>
      <c r="F13" s="13">
        <f>F7/2</f>
        <v>0.16666666666666666</v>
      </c>
      <c r="G13" s="12" t="s">
        <v>0</v>
      </c>
      <c r="H13" s="15">
        <f>H7</f>
        <v>0.33333333333333331</v>
      </c>
      <c r="I13" s="16">
        <f t="shared" si="22"/>
        <v>1.6666666666666665</v>
      </c>
      <c r="J13" s="8">
        <v>4</v>
      </c>
      <c r="K13" s="5">
        <f t="shared" si="15"/>
        <v>0.60000000000000009</v>
      </c>
      <c r="L13" s="4">
        <f>4*2*4*16/1024</f>
        <v>0.5</v>
      </c>
      <c r="M13" s="53">
        <v>0.5</v>
      </c>
      <c r="N13" s="4">
        <v>64</v>
      </c>
      <c r="O13" s="4">
        <f t="shared" si="16"/>
        <v>32</v>
      </c>
      <c r="P13" s="8">
        <f>P9*(I13*75%)*N13/N9*M13</f>
        <v>118.75</v>
      </c>
      <c r="Q13" s="7">
        <f t="shared" si="0"/>
        <v>2.1557894736842105</v>
      </c>
      <c r="R13" s="8">
        <f t="shared" si="13"/>
        <v>3200</v>
      </c>
      <c r="S13" s="4">
        <f t="shared" si="14"/>
        <v>100</v>
      </c>
      <c r="T13" s="5">
        <f>($U$1+$U$2*J13/2)*$Q$7/Q13</f>
        <v>1.3571428571428572</v>
      </c>
      <c r="U13" s="5">
        <f>T13*O13/$O$7</f>
        <v>0.6785714285714286</v>
      </c>
      <c r="V13" s="23">
        <f t="shared" si="3"/>
        <v>0.6785714285714286</v>
      </c>
      <c r="Y13" s="68" t="str">
        <f t="shared" si="1"/>
        <v>4Kx2Kx4D</v>
      </c>
      <c r="Z13" s="62">
        <f t="shared" si="18"/>
        <v>4</v>
      </c>
      <c r="AA13" s="62">
        <f t="shared" si="4"/>
        <v>256</v>
      </c>
      <c r="AB13" s="62">
        <f t="shared" si="5"/>
        <v>64</v>
      </c>
      <c r="AC13" s="63">
        <f t="shared" si="6"/>
        <v>118.75</v>
      </c>
      <c r="AD13" s="63">
        <f t="shared" si="7"/>
        <v>3200</v>
      </c>
      <c r="AE13" s="64">
        <f t="shared" si="8"/>
        <v>2.1557894736842105</v>
      </c>
      <c r="AF13" s="63">
        <f t="shared" si="9"/>
        <v>100</v>
      </c>
      <c r="AG13" s="65">
        <f t="shared" si="10"/>
        <v>1.3571428571428572</v>
      </c>
      <c r="AH13" s="65">
        <f t="shared" si="11"/>
        <v>0.6785714285714286</v>
      </c>
      <c r="AI13" s="69">
        <f t="shared" si="12"/>
        <v>0.6785714285714286</v>
      </c>
    </row>
    <row r="14" spans="1:35" hidden="1">
      <c r="A14" s="24" t="s">
        <v>17</v>
      </c>
      <c r="B14" s="4" t="s">
        <v>6</v>
      </c>
      <c r="C14" s="17" t="s">
        <v>11</v>
      </c>
      <c r="D14" s="13">
        <f>D7/4</f>
        <v>8.3333333333333329E-2</v>
      </c>
      <c r="E14" s="12" t="s">
        <v>12</v>
      </c>
      <c r="F14" s="15">
        <f>F11</f>
        <v>0.33333333333333331</v>
      </c>
      <c r="G14" s="12" t="s">
        <v>0</v>
      </c>
      <c r="H14" s="15">
        <f>H11</f>
        <v>0.33333333333333331</v>
      </c>
      <c r="I14" s="16">
        <f t="shared" si="22"/>
        <v>1.5</v>
      </c>
      <c r="J14" s="8">
        <v>2</v>
      </c>
      <c r="K14" s="5">
        <f t="shared" si="15"/>
        <v>0.66666666666666663</v>
      </c>
      <c r="L14" s="4">
        <f>2*4*2*16/1024</f>
        <v>0.25</v>
      </c>
      <c r="M14" s="53">
        <v>0.5</v>
      </c>
      <c r="N14" s="4">
        <v>128</v>
      </c>
      <c r="O14" s="4">
        <f t="shared" si="16"/>
        <v>32</v>
      </c>
      <c r="P14" s="8">
        <f>P7*(I14*75%)*N14/N7*M14</f>
        <v>196.875</v>
      </c>
      <c r="Q14" s="7">
        <f t="shared" si="0"/>
        <v>1.3003174603174603</v>
      </c>
      <c r="R14" s="8">
        <f t="shared" si="13"/>
        <v>6400</v>
      </c>
      <c r="S14" s="4">
        <f t="shared" si="14"/>
        <v>200</v>
      </c>
      <c r="T14" s="5">
        <f>($U$1+$U$2*J14/2)*$Q$7/Q14</f>
        <v>1.5000000000000002</v>
      </c>
      <c r="U14" s="5">
        <f>T14*O14/$O$7</f>
        <v>0.75000000000000011</v>
      </c>
      <c r="V14" s="23">
        <f t="shared" si="3"/>
        <v>0.37500000000000006</v>
      </c>
      <c r="Y14" s="68" t="str">
        <f t="shared" si="1"/>
        <v>2Kx4Kx2D</v>
      </c>
      <c r="Z14" s="62">
        <f t="shared" si="18"/>
        <v>2</v>
      </c>
      <c r="AA14" s="62">
        <f t="shared" si="4"/>
        <v>256</v>
      </c>
      <c r="AB14" s="62">
        <f t="shared" si="5"/>
        <v>128</v>
      </c>
      <c r="AC14" s="63">
        <f t="shared" si="6"/>
        <v>196.875</v>
      </c>
      <c r="AD14" s="63">
        <f t="shared" si="7"/>
        <v>6400</v>
      </c>
      <c r="AE14" s="64">
        <f t="shared" si="8"/>
        <v>1.3003174603174603</v>
      </c>
      <c r="AF14" s="63">
        <f t="shared" si="9"/>
        <v>200</v>
      </c>
      <c r="AG14" s="65">
        <f t="shared" si="10"/>
        <v>1.5000000000000002</v>
      </c>
      <c r="AH14" s="65">
        <f t="shared" si="11"/>
        <v>0.75000000000000011</v>
      </c>
      <c r="AI14" s="69">
        <f t="shared" si="12"/>
        <v>0.37500000000000006</v>
      </c>
    </row>
    <row r="15" spans="1:35" hidden="1">
      <c r="A15" s="24" t="s">
        <v>47</v>
      </c>
      <c r="B15" s="4" t="s">
        <v>6</v>
      </c>
      <c r="C15" s="17" t="s">
        <v>11</v>
      </c>
      <c r="D15" s="13">
        <f>D8/4</f>
        <v>8.3333333333333329E-2</v>
      </c>
      <c r="E15" s="12" t="s">
        <v>12</v>
      </c>
      <c r="F15" s="15">
        <f>F14</f>
        <v>0.33333333333333331</v>
      </c>
      <c r="G15" s="12" t="s">
        <v>0</v>
      </c>
      <c r="H15" s="15">
        <f>H14</f>
        <v>0.33333333333333331</v>
      </c>
      <c r="I15" s="16">
        <f t="shared" si="22"/>
        <v>1.5</v>
      </c>
      <c r="J15" s="8">
        <v>2</v>
      </c>
      <c r="K15" s="5">
        <f t="shared" si="15"/>
        <v>0.66666666666666663</v>
      </c>
      <c r="L15" s="4">
        <f>2*4*2*16/1024</f>
        <v>0.25</v>
      </c>
      <c r="M15" s="53">
        <v>0.5</v>
      </c>
      <c r="N15" s="4">
        <v>64</v>
      </c>
      <c r="O15" s="4">
        <f t="shared" si="16"/>
        <v>16</v>
      </c>
      <c r="P15" s="8">
        <f>P9*(I15*75%)*N15/N9*M15</f>
        <v>106.875</v>
      </c>
      <c r="Q15" s="7">
        <f t="shared" si="0"/>
        <v>1.1976608187134503</v>
      </c>
      <c r="R15" s="8">
        <f t="shared" si="13"/>
        <v>3200</v>
      </c>
      <c r="S15" s="4">
        <f t="shared" si="14"/>
        <v>200</v>
      </c>
      <c r="T15" s="5">
        <f>($U$1+$U$2*J15/2)*$Q$7/Q15</f>
        <v>1.6285714285714288</v>
      </c>
      <c r="U15" s="5">
        <f>T15*O15/$O$7</f>
        <v>0.4071428571428572</v>
      </c>
      <c r="V15" s="23">
        <f t="shared" si="3"/>
        <v>0.4071428571428572</v>
      </c>
      <c r="Y15" s="68" t="str">
        <f t="shared" si="1"/>
        <v>2Kx4Kx2D</v>
      </c>
      <c r="Z15" s="62">
        <f t="shared" si="18"/>
        <v>2</v>
      </c>
      <c r="AA15" s="62">
        <f t="shared" si="4"/>
        <v>128</v>
      </c>
      <c r="AB15" s="62">
        <f t="shared" si="5"/>
        <v>64</v>
      </c>
      <c r="AC15" s="63">
        <f t="shared" si="6"/>
        <v>106.875</v>
      </c>
      <c r="AD15" s="63">
        <f t="shared" si="7"/>
        <v>3200</v>
      </c>
      <c r="AE15" s="64">
        <f t="shared" si="8"/>
        <v>1.1976608187134503</v>
      </c>
      <c r="AF15" s="63">
        <f t="shared" si="9"/>
        <v>200</v>
      </c>
      <c r="AG15" s="65">
        <f t="shared" si="10"/>
        <v>1.6285714285714288</v>
      </c>
      <c r="AH15" s="65">
        <f t="shared" si="11"/>
        <v>0.4071428571428572</v>
      </c>
      <c r="AI15" s="69">
        <f t="shared" si="12"/>
        <v>0.4071428571428572</v>
      </c>
    </row>
    <row r="16" spans="1:35">
      <c r="A16" s="24" t="s">
        <v>24</v>
      </c>
      <c r="B16" s="4" t="s">
        <v>7</v>
      </c>
      <c r="C16" s="12" t="s">
        <v>10</v>
      </c>
      <c r="D16" s="13">
        <f>D8/2</f>
        <v>0.16666666666666666</v>
      </c>
      <c r="E16" s="12" t="s">
        <v>13</v>
      </c>
      <c r="F16" s="13">
        <f>F8/2</f>
        <v>0.16666666666666666</v>
      </c>
      <c r="G16" s="12" t="s">
        <v>0</v>
      </c>
      <c r="H16" s="15">
        <f>H17</f>
        <v>0.33333333333333331</v>
      </c>
      <c r="I16" s="16">
        <f t="shared" si="22"/>
        <v>1.3333333333333333</v>
      </c>
      <c r="J16" s="8">
        <v>2</v>
      </c>
      <c r="K16" s="5">
        <f t="shared" si="15"/>
        <v>0.75</v>
      </c>
      <c r="L16" s="4">
        <f>4*2*2*16/1024</f>
        <v>0.25</v>
      </c>
      <c r="M16" s="53">
        <v>0.5</v>
      </c>
      <c r="N16" s="4">
        <v>128</v>
      </c>
      <c r="O16" s="4">
        <f t="shared" si="16"/>
        <v>32</v>
      </c>
      <c r="P16" s="8">
        <f>P7*(I16*75%)*N16/N7*M16</f>
        <v>175</v>
      </c>
      <c r="Q16" s="7">
        <f t="shared" si="0"/>
        <v>1.4628571428571429</v>
      </c>
      <c r="R16" s="8">
        <f t="shared" si="13"/>
        <v>6400</v>
      </c>
      <c r="S16" s="4">
        <f t="shared" si="14"/>
        <v>200</v>
      </c>
      <c r="T16" s="5">
        <f>($U$1+$U$2*J16/2)*75%*$Q$7/Q16</f>
        <v>1</v>
      </c>
      <c r="U16" s="5">
        <f>T16*O16/$O$6</f>
        <v>1</v>
      </c>
      <c r="V16" s="23">
        <f>(T16/$T$6)/(S16/$S$6)</f>
        <v>0.25</v>
      </c>
      <c r="Y16" s="68" t="str">
        <f t="shared" si="1"/>
        <v>4Kx2Kx2D</v>
      </c>
      <c r="Z16" s="62">
        <f t="shared" si="18"/>
        <v>2</v>
      </c>
      <c r="AA16" s="62">
        <f t="shared" si="4"/>
        <v>256</v>
      </c>
      <c r="AB16" s="62">
        <f t="shared" si="5"/>
        <v>128</v>
      </c>
      <c r="AC16" s="63">
        <f t="shared" si="6"/>
        <v>175</v>
      </c>
      <c r="AD16" s="63">
        <f t="shared" si="7"/>
        <v>6400</v>
      </c>
      <c r="AE16" s="64">
        <f t="shared" si="8"/>
        <v>1.4628571428571429</v>
      </c>
      <c r="AF16" s="63">
        <f t="shared" si="9"/>
        <v>200</v>
      </c>
      <c r="AG16" s="65">
        <f t="shared" si="10"/>
        <v>1</v>
      </c>
      <c r="AH16" s="65">
        <f t="shared" si="11"/>
        <v>1</v>
      </c>
      <c r="AI16" s="69">
        <f t="shared" si="12"/>
        <v>0.25</v>
      </c>
    </row>
    <row r="17" spans="1:35" ht="17" thickBot="1">
      <c r="A17" s="25" t="s">
        <v>25</v>
      </c>
      <c r="B17" s="26" t="s">
        <v>7</v>
      </c>
      <c r="C17" s="27" t="s">
        <v>10</v>
      </c>
      <c r="D17" s="28">
        <f>D7/2</f>
        <v>0.16666666666666666</v>
      </c>
      <c r="E17" s="27" t="s">
        <v>13</v>
      </c>
      <c r="F17" s="28">
        <f>F7/2</f>
        <v>0.16666666666666666</v>
      </c>
      <c r="G17" s="27" t="s">
        <v>0</v>
      </c>
      <c r="H17" s="29">
        <f>H13</f>
        <v>0.33333333333333331</v>
      </c>
      <c r="I17" s="30">
        <f t="shared" si="22"/>
        <v>1.3333333333333333</v>
      </c>
      <c r="J17" s="31">
        <v>2</v>
      </c>
      <c r="K17" s="32">
        <f t="shared" si="15"/>
        <v>0.75</v>
      </c>
      <c r="L17" s="26">
        <f>4*2*2*16/1024</f>
        <v>0.25</v>
      </c>
      <c r="M17" s="54">
        <v>0.5</v>
      </c>
      <c r="N17" s="26">
        <v>64</v>
      </c>
      <c r="O17" s="26">
        <f t="shared" si="16"/>
        <v>16</v>
      </c>
      <c r="P17" s="31">
        <f>P9*(I17*75%)*N17/N9*M17</f>
        <v>95</v>
      </c>
      <c r="Q17" s="33">
        <f>O17/P17*8</f>
        <v>1.3473684210526315</v>
      </c>
      <c r="R17" s="31">
        <f t="shared" si="13"/>
        <v>3200</v>
      </c>
      <c r="S17" s="26">
        <f>16/0.32/L17</f>
        <v>200</v>
      </c>
      <c r="T17" s="32">
        <f>($U$1+$U$2*J17/2)*75%*$Q$7/Q17</f>
        <v>1.0857142857142856</v>
      </c>
      <c r="U17" s="32">
        <f>T17*O17/$O$6</f>
        <v>0.54285714285714282</v>
      </c>
      <c r="V17" s="34">
        <f>(T17/$T$6)/(S17/$S$6)</f>
        <v>0.27142857142857141</v>
      </c>
      <c r="Y17" s="70" t="str">
        <f t="shared" si="1"/>
        <v>4Kx2Kx2D</v>
      </c>
      <c r="Z17" s="71">
        <f t="shared" si="18"/>
        <v>2</v>
      </c>
      <c r="AA17" s="71">
        <f t="shared" si="4"/>
        <v>128</v>
      </c>
      <c r="AB17" s="71">
        <f t="shared" si="5"/>
        <v>64</v>
      </c>
      <c r="AC17" s="72">
        <f t="shared" si="6"/>
        <v>95</v>
      </c>
      <c r="AD17" s="72">
        <f t="shared" si="7"/>
        <v>3200</v>
      </c>
      <c r="AE17" s="73">
        <f t="shared" si="8"/>
        <v>1.3473684210526315</v>
      </c>
      <c r="AF17" s="72">
        <f t="shared" si="9"/>
        <v>200</v>
      </c>
      <c r="AG17" s="74">
        <f t="shared" si="10"/>
        <v>1.0857142857142856</v>
      </c>
      <c r="AH17" s="74">
        <f t="shared" si="11"/>
        <v>0.54285714285714282</v>
      </c>
      <c r="AI17" s="75">
        <f t="shared" si="12"/>
        <v>0.27142857142857141</v>
      </c>
    </row>
    <row r="18" spans="1:35">
      <c r="A18" s="45"/>
      <c r="B18" s="46"/>
      <c r="C18" s="46"/>
      <c r="D18" s="45"/>
      <c r="E18" s="46"/>
      <c r="F18" s="45"/>
      <c r="G18" s="46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35">
      <c r="A19" s="41" t="s">
        <v>26</v>
      </c>
      <c r="B19" s="42"/>
      <c r="C19" s="43"/>
      <c r="D19" s="44"/>
      <c r="E19" s="43"/>
      <c r="F19" s="44"/>
      <c r="G19" s="43"/>
      <c r="H19" s="44"/>
      <c r="I19" s="50"/>
      <c r="J19" s="51" t="s">
        <v>37</v>
      </c>
      <c r="K19" s="52"/>
      <c r="L19" s="52"/>
      <c r="M19" s="52"/>
      <c r="N19" s="52"/>
      <c r="O19" s="52"/>
      <c r="P19" s="36"/>
      <c r="Q19" s="36"/>
      <c r="R19" s="36"/>
      <c r="S19" s="36"/>
      <c r="T19" s="36"/>
      <c r="U19" s="36"/>
      <c r="V19" s="36"/>
    </row>
    <row r="23" spans="1:35">
      <c r="I23" s="1">
        <f>2*4*2*4*128/1024/8</f>
        <v>1</v>
      </c>
      <c r="R23" s="1" t="s">
        <v>28</v>
      </c>
      <c r="S23" s="3">
        <f>16/0.465/1</f>
        <v>34.408602150537632</v>
      </c>
    </row>
    <row r="24" spans="1:35">
      <c r="I24" s="1">
        <f>4*4*4*128/8/1024</f>
        <v>1</v>
      </c>
      <c r="R24" s="1" t="s">
        <v>29</v>
      </c>
      <c r="S24" s="1">
        <f>800/32</f>
        <v>25</v>
      </c>
      <c r="T24" s="2">
        <f>T25/0.75</f>
        <v>1.3333333333333333</v>
      </c>
      <c r="U24" s="2">
        <f>T24/2</f>
        <v>0.66666666666666663</v>
      </c>
    </row>
    <row r="25" spans="1:35">
      <c r="R25" s="1" t="s">
        <v>30</v>
      </c>
      <c r="S25" s="1">
        <f>16/0.32/1</f>
        <v>50</v>
      </c>
      <c r="T25" s="2">
        <f>T7/0.75</f>
        <v>1</v>
      </c>
      <c r="U25" s="2">
        <f>T25/2</f>
        <v>0.5</v>
      </c>
    </row>
    <row r="29" spans="1:35">
      <c r="C29" s="1">
        <v>3</v>
      </c>
      <c r="D29">
        <v>3</v>
      </c>
      <c r="E29" s="1">
        <v>3</v>
      </c>
    </row>
    <row r="30" spans="1:35">
      <c r="C30" s="1">
        <f>1/C29</f>
        <v>0.33333333333333331</v>
      </c>
      <c r="D30" s="1">
        <f>1/D29</f>
        <v>0.33333333333333331</v>
      </c>
      <c r="E30" s="1">
        <f>1/E29</f>
        <v>0.33333333333333331</v>
      </c>
      <c r="I30">
        <f>(C30+D30+E30)/0.5</f>
        <v>2</v>
      </c>
      <c r="M30" s="2">
        <f>1/I30-1</f>
        <v>-0.5</v>
      </c>
    </row>
    <row r="31" spans="1:35">
      <c r="C31" s="1">
        <f>C30/2</f>
        <v>0.16666666666666666</v>
      </c>
      <c r="D31" s="1">
        <f>D30/2</f>
        <v>0.16666666666666666</v>
      </c>
      <c r="E31" s="1">
        <f>E30</f>
        <v>0.33333333333333331</v>
      </c>
      <c r="I31">
        <f>(C31+D31+E31)/0.5</f>
        <v>1.3333333333333333</v>
      </c>
      <c r="M31" s="2">
        <f>1/I31-1</f>
        <v>-0.25</v>
      </c>
    </row>
    <row r="32" spans="1:35">
      <c r="C32" s="1">
        <f>C31*0.75</f>
        <v>0.125</v>
      </c>
      <c r="D32" s="1">
        <f>D31</f>
        <v>0.16666666666666666</v>
      </c>
      <c r="E32" s="1">
        <f>E31</f>
        <v>0.33333333333333331</v>
      </c>
      <c r="I32">
        <f>(C32+D32+E32)/0.5</f>
        <v>1.25</v>
      </c>
      <c r="M32" s="2">
        <f>1/I32-1</f>
        <v>-0.19999999999999996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B412-9BF3-F141-B7EA-83CDF44BEB66}">
  <dimension ref="A2:V36"/>
  <sheetViews>
    <sheetView topLeftCell="H1" zoomScale="160" zoomScaleNormal="160" workbookViewId="0">
      <selection activeCell="S24" sqref="S24"/>
    </sheetView>
  </sheetViews>
  <sheetFormatPr baseColWidth="10" defaultRowHeight="16"/>
  <cols>
    <col min="1" max="1" width="17.6640625" customWidth="1"/>
    <col min="3" max="3" width="12.83203125" bestFit="1" customWidth="1"/>
    <col min="5" max="5" width="12.83203125" bestFit="1" customWidth="1"/>
    <col min="7" max="7" width="12.83203125" bestFit="1" customWidth="1"/>
    <col min="8" max="8" width="19.1640625" bestFit="1" customWidth="1"/>
    <col min="15" max="15" width="30" bestFit="1" customWidth="1"/>
  </cols>
  <sheetData>
    <row r="2" spans="5:18">
      <c r="F2" t="s">
        <v>50</v>
      </c>
    </row>
    <row r="5" spans="5:18">
      <c r="E5" s="76"/>
    </row>
    <row r="6" spans="5:18" ht="68">
      <c r="E6" s="76"/>
      <c r="O6" s="57" t="s">
        <v>79</v>
      </c>
      <c r="P6" t="s">
        <v>77</v>
      </c>
      <c r="Q6" s="77" t="s">
        <v>80</v>
      </c>
      <c r="R6" s="78" t="s">
        <v>81</v>
      </c>
    </row>
    <row r="7" spans="5:18">
      <c r="E7" s="76" t="s">
        <v>57</v>
      </c>
      <c r="O7" s="57" t="s">
        <v>78</v>
      </c>
      <c r="P7">
        <v>1.66</v>
      </c>
      <c r="Q7" s="56">
        <f>1/P7-1</f>
        <v>-0.39759036144578308</v>
      </c>
    </row>
    <row r="8" spans="5:18">
      <c r="E8" s="76"/>
      <c r="O8" s="57" t="s">
        <v>75</v>
      </c>
      <c r="P8">
        <v>1.42</v>
      </c>
      <c r="Q8" s="56">
        <f>1/P8-1</f>
        <v>-0.29577464788732388</v>
      </c>
      <c r="R8" s="58">
        <f>Q8-Q7</f>
        <v>0.1018157135584592</v>
      </c>
    </row>
    <row r="9" spans="5:18">
      <c r="E9" s="76"/>
      <c r="O9" s="57" t="s">
        <v>57</v>
      </c>
      <c r="P9">
        <v>1.25</v>
      </c>
      <c r="Q9" s="56">
        <f>1/P9-1</f>
        <v>-0.19999999999999996</v>
      </c>
      <c r="R9" s="58">
        <f>Q9-Q8</f>
        <v>9.5774647887323927E-2</v>
      </c>
    </row>
    <row r="10" spans="5:18">
      <c r="O10" s="57" t="s">
        <v>76</v>
      </c>
      <c r="P10">
        <v>1</v>
      </c>
      <c r="Q10" s="56">
        <f>1/P10-1</f>
        <v>0</v>
      </c>
      <c r="R10" s="58">
        <f>Q10-Q9</f>
        <v>0.19999999999999996</v>
      </c>
    </row>
    <row r="17" spans="1:22">
      <c r="Q17" t="s">
        <v>35</v>
      </c>
      <c r="R17">
        <v>32</v>
      </c>
      <c r="S17">
        <v>134</v>
      </c>
      <c r="T17">
        <f>R17/S17</f>
        <v>0.23880597014925373</v>
      </c>
    </row>
    <row r="18" spans="1:22">
      <c r="Q18" t="s">
        <v>107</v>
      </c>
      <c r="R18">
        <v>64</v>
      </c>
      <c r="S18">
        <v>175</v>
      </c>
      <c r="T18">
        <f>R18/S18</f>
        <v>0.36571428571428571</v>
      </c>
      <c r="U18">
        <f>T17/T18</f>
        <v>0.65298507462686561</v>
      </c>
      <c r="V18" s="56">
        <f>U18*1.15</f>
        <v>0.75093283582089543</v>
      </c>
    </row>
    <row r="19" spans="1:22">
      <c r="Q19" t="s">
        <v>108</v>
      </c>
      <c r="R19">
        <v>64</v>
      </c>
      <c r="S19">
        <v>190</v>
      </c>
      <c r="T19">
        <f>R19/S19</f>
        <v>0.33684210526315789</v>
      </c>
      <c r="U19">
        <f>T17/T19</f>
        <v>0.70895522388059706</v>
      </c>
      <c r="V19" s="56">
        <f>U19*1.15*0.92</f>
        <v>0.75007462686567161</v>
      </c>
    </row>
    <row r="20" spans="1:22">
      <c r="Q20" s="56">
        <v>1</v>
      </c>
      <c r="R20">
        <v>33.5</v>
      </c>
      <c r="S20" s="56">
        <f>($R$20/R20)^-2</f>
        <v>1</v>
      </c>
      <c r="T20" s="56">
        <v>1</v>
      </c>
    </row>
    <row r="21" spans="1:22">
      <c r="Q21" s="56">
        <f>Q20*1.15</f>
        <v>1.1499999999999999</v>
      </c>
      <c r="R21">
        <v>26.5</v>
      </c>
      <c r="S21" s="79">
        <f>($R$20/R21)^-2</f>
        <v>0.62575183782579646</v>
      </c>
      <c r="T21" s="56">
        <f>S21/$S$20*Q21/$Q$20</f>
        <v>0.71961461349966582</v>
      </c>
    </row>
    <row r="22" spans="1:22">
      <c r="B22" t="s">
        <v>48</v>
      </c>
      <c r="D22" t="s">
        <v>49</v>
      </c>
      <c r="F22" t="s">
        <v>50</v>
      </c>
      <c r="I22" t="s">
        <v>51</v>
      </c>
      <c r="Q22" s="80">
        <v>1.07</v>
      </c>
      <c r="R22">
        <v>28</v>
      </c>
      <c r="S22" s="79">
        <f>($R$20/R22)^-2</f>
        <v>0.69859656939184678</v>
      </c>
    </row>
    <row r="24" spans="1:22">
      <c r="A24" s="55" t="s">
        <v>52</v>
      </c>
      <c r="B24" s="56">
        <f>1/J24-1</f>
        <v>-0.39759036144578308</v>
      </c>
      <c r="C24" s="55" t="s">
        <v>52</v>
      </c>
      <c r="D24" s="56">
        <f>1/K24-1</f>
        <v>-0.39759036144578308</v>
      </c>
      <c r="E24" s="55" t="s">
        <v>52</v>
      </c>
      <c r="F24" s="56">
        <f>1/L24-1</f>
        <v>-0.39759036144578308</v>
      </c>
      <c r="G24" s="55" t="s">
        <v>52</v>
      </c>
      <c r="H24" s="55" t="s">
        <v>52</v>
      </c>
      <c r="I24" s="56">
        <f>1/M24-1</f>
        <v>-0.24812030075187974</v>
      </c>
      <c r="J24">
        <v>1.66</v>
      </c>
      <c r="K24">
        <v>1.66</v>
      </c>
      <c r="L24">
        <v>1.66</v>
      </c>
      <c r="M24">
        <v>1.33</v>
      </c>
      <c r="S24">
        <v>95</v>
      </c>
    </row>
    <row r="25" spans="1:22">
      <c r="A25" s="136" t="s">
        <v>53</v>
      </c>
      <c r="B25" s="56">
        <f>1/J25-1</f>
        <v>-0.33333333333333337</v>
      </c>
      <c r="C25" s="136" t="s">
        <v>53</v>
      </c>
      <c r="D25" s="56">
        <f>1/K25-1</f>
        <v>-0.29577464788732388</v>
      </c>
      <c r="E25" s="136" t="s">
        <v>53</v>
      </c>
      <c r="F25" s="56">
        <f>1/L25-1</f>
        <v>-0.29577464788732388</v>
      </c>
      <c r="G25" s="136" t="s">
        <v>53</v>
      </c>
      <c r="H25" s="136" t="s">
        <v>53</v>
      </c>
      <c r="I25" s="56">
        <f>1/M25-1</f>
        <v>-0.19999999999999996</v>
      </c>
      <c r="J25">
        <v>1.5</v>
      </c>
      <c r="K25">
        <v>1.42</v>
      </c>
      <c r="L25">
        <v>1.42</v>
      </c>
      <c r="M25">
        <v>1.25</v>
      </c>
      <c r="S25" s="81">
        <f>S24*S19/S18</f>
        <v>103.14285714285714</v>
      </c>
    </row>
    <row r="26" spans="1:22">
      <c r="A26" s="136"/>
      <c r="B26" s="58">
        <f>B25-B24</f>
        <v>6.425702811244971E-2</v>
      </c>
      <c r="C26" s="136"/>
      <c r="D26" s="58">
        <f>D25-D24</f>
        <v>0.1018157135584592</v>
      </c>
      <c r="E26" s="136"/>
      <c r="F26" s="58">
        <f>F25-F24</f>
        <v>0.1018157135584592</v>
      </c>
      <c r="G26" s="136"/>
      <c r="H26" s="136"/>
      <c r="I26" s="58">
        <f>I25-I24</f>
        <v>4.8120300751879785E-2</v>
      </c>
      <c r="J26">
        <v>10</v>
      </c>
    </row>
    <row r="27" spans="1:22">
      <c r="A27" s="136" t="s">
        <v>54</v>
      </c>
      <c r="B27" s="56">
        <f>1/J27-1</f>
        <v>-0.23076923076923084</v>
      </c>
      <c r="C27" s="136" t="s">
        <v>56</v>
      </c>
      <c r="D27" s="56">
        <f>1/K27-1</f>
        <v>-0.2592592592592593</v>
      </c>
      <c r="E27" s="136" t="s">
        <v>57</v>
      </c>
      <c r="F27" s="56">
        <f>1/L27-1</f>
        <v>-0.19999999999999996</v>
      </c>
      <c r="G27" s="136" t="s">
        <v>57</v>
      </c>
      <c r="H27" s="136" t="s">
        <v>61</v>
      </c>
      <c r="I27" s="56">
        <f>1/M27-1</f>
        <v>-9.9099099099099197E-2</v>
      </c>
      <c r="J27">
        <v>1.3</v>
      </c>
      <c r="K27">
        <v>1.35</v>
      </c>
      <c r="L27">
        <v>1.25</v>
      </c>
      <c r="M27">
        <v>1.1100000000000001</v>
      </c>
    </row>
    <row r="28" spans="1:22">
      <c r="A28" s="136"/>
      <c r="B28" s="58">
        <f>B27-B25</f>
        <v>0.10256410256410253</v>
      </c>
      <c r="C28" s="136"/>
      <c r="D28" s="58">
        <f>D27-D25</f>
        <v>3.6515388628064582E-2</v>
      </c>
      <c r="E28" s="136"/>
      <c r="F28" s="58">
        <f>F27-F25</f>
        <v>9.5774647887323927E-2</v>
      </c>
      <c r="G28" s="136"/>
      <c r="H28" s="136"/>
      <c r="I28" s="58">
        <f>I27-I25</f>
        <v>0.10090090090090076</v>
      </c>
    </row>
    <row r="29" spans="1:22">
      <c r="A29" s="136" t="s">
        <v>59</v>
      </c>
      <c r="B29" s="56">
        <f>1/J29-1</f>
        <v>-0.16666666666666663</v>
      </c>
      <c r="C29" s="136" t="s">
        <v>57</v>
      </c>
      <c r="D29" s="56">
        <f>1/K29-1</f>
        <v>-0.16666666666666663</v>
      </c>
      <c r="E29" s="136" t="s">
        <v>60</v>
      </c>
      <c r="F29" s="56">
        <f>1/L29-1</f>
        <v>0</v>
      </c>
      <c r="G29" s="136" t="s">
        <v>60</v>
      </c>
      <c r="H29" s="136" t="s">
        <v>62</v>
      </c>
      <c r="I29" s="56">
        <f>1/M29-1</f>
        <v>0</v>
      </c>
      <c r="J29">
        <v>1.2</v>
      </c>
      <c r="K29">
        <v>1.2</v>
      </c>
      <c r="L29">
        <v>1</v>
      </c>
      <c r="M29">
        <v>1</v>
      </c>
    </row>
    <row r="30" spans="1:22">
      <c r="A30" s="136"/>
      <c r="B30" s="58">
        <f>B29-B27</f>
        <v>6.4102564102564208E-2</v>
      </c>
      <c r="C30" s="136"/>
      <c r="D30" s="58">
        <f>D29-D27</f>
        <v>9.2592592592592671E-2</v>
      </c>
      <c r="E30" s="136"/>
      <c r="F30" s="58">
        <f>F29-F27</f>
        <v>0.19999999999999996</v>
      </c>
      <c r="G30" s="136"/>
      <c r="H30" s="136"/>
      <c r="I30" s="58">
        <f>I29-I27</f>
        <v>9.9099099099099197E-2</v>
      </c>
    </row>
    <row r="31" spans="1:22">
      <c r="A31" s="136" t="s">
        <v>55</v>
      </c>
      <c r="B31" s="56">
        <f>1/J31-1</f>
        <v>0</v>
      </c>
      <c r="C31" s="136" t="s">
        <v>58</v>
      </c>
      <c r="D31" s="56">
        <f>1/K31-1</f>
        <v>0</v>
      </c>
      <c r="E31" s="136"/>
      <c r="G31" s="136"/>
      <c r="J31">
        <v>1</v>
      </c>
      <c r="K31">
        <v>1</v>
      </c>
    </row>
    <row r="32" spans="1:22">
      <c r="A32" s="136"/>
      <c r="B32" s="58">
        <f>B31-B29</f>
        <v>0.16666666666666663</v>
      </c>
      <c r="C32" s="136"/>
      <c r="D32" s="58">
        <f>D31-D29</f>
        <v>0.16666666666666663</v>
      </c>
      <c r="E32" s="136"/>
      <c r="G32" s="136"/>
    </row>
    <row r="33" spans="1:1">
      <c r="A33" s="55"/>
    </row>
    <row r="34" spans="1:1">
      <c r="A34" s="55"/>
    </row>
    <row r="35" spans="1:1">
      <c r="A35" s="55"/>
    </row>
    <row r="36" spans="1:1">
      <c r="A36" s="55"/>
    </row>
  </sheetData>
  <mergeCells count="19">
    <mergeCell ref="A25:A26"/>
    <mergeCell ref="A27:A28"/>
    <mergeCell ref="A29:A30"/>
    <mergeCell ref="A31:A32"/>
    <mergeCell ref="C25:C26"/>
    <mergeCell ref="C27:C28"/>
    <mergeCell ref="C29:C30"/>
    <mergeCell ref="C31:C32"/>
    <mergeCell ref="E31:E32"/>
    <mergeCell ref="G25:G26"/>
    <mergeCell ref="G27:G28"/>
    <mergeCell ref="G29:G30"/>
    <mergeCell ref="G31:G32"/>
    <mergeCell ref="H25:H26"/>
    <mergeCell ref="H27:H28"/>
    <mergeCell ref="H29:H30"/>
    <mergeCell ref="E25:E26"/>
    <mergeCell ref="E27:E28"/>
    <mergeCell ref="E29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Tile Size</vt:lpstr>
      <vt:lpstr>Full Stack vs. BiSM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2020-07-21T20:27:49Z</dcterms:created>
  <dcterms:modified xsi:type="dcterms:W3CDTF">2020-08-11T02:47:03Z</dcterms:modified>
</cp:coreProperties>
</file>