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ath Finding General/OPtane Technology PF/"/>
    </mc:Choice>
  </mc:AlternateContent>
  <xr:revisionPtr revIDLastSave="109" documentId="11_DB300098941D3BE0BAE386F786AB1DB667A44F3D" xr6:coauthVersionLast="45" xr6:coauthVersionMax="45" xr10:uidLastSave="{0E78D01F-81DE-4453-AC33-EC20D5D6659E}"/>
  <bookViews>
    <workbookView xWindow="28680" yWindow="-120" windowWidth="29040" windowHeight="15840" xr2:uid="{00000000-000D-0000-FFFF-FFFF00000000}"/>
  </bookViews>
  <sheets>
    <sheet name="ATF_" sheetId="4" r:id="rId1"/>
    <sheet name="Legend" sheetId="5" r:id="rId2"/>
    <sheet name="ATF" sheetId="1" r:id="rId3"/>
    <sheet name="S26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4" i="4" l="1"/>
  <c r="E141" i="4"/>
  <c r="E108" i="4"/>
  <c r="E107" i="4"/>
  <c r="E50" i="4"/>
  <c r="E46" i="4"/>
  <c r="E10" i="4"/>
  <c r="E9" i="4"/>
  <c r="E7" i="4"/>
  <c r="E6" i="4"/>
  <c r="E5" i="4"/>
  <c r="E4" i="4"/>
  <c r="E3" i="4"/>
  <c r="F144" i="4"/>
  <c r="G141" i="4"/>
  <c r="F141" i="4"/>
  <c r="G108" i="4"/>
  <c r="F108" i="4"/>
  <c r="G107" i="4"/>
  <c r="F107" i="4"/>
  <c r="F50" i="4"/>
  <c r="F46" i="4"/>
  <c r="F10" i="4"/>
  <c r="F9" i="4"/>
  <c r="F7" i="4"/>
  <c r="G6" i="4"/>
  <c r="F6" i="4"/>
  <c r="G5" i="4"/>
  <c r="F5" i="4"/>
  <c r="G4" i="4"/>
  <c r="F4" i="4"/>
  <c r="G3" i="4"/>
  <c r="F3" i="4"/>
  <c r="I142" i="2"/>
  <c r="G142" i="2"/>
  <c r="E142" i="2"/>
  <c r="C142" i="2"/>
  <c r="J139" i="2"/>
  <c r="I139" i="2"/>
  <c r="H139" i="2"/>
  <c r="G139" i="2"/>
  <c r="F139" i="2"/>
  <c r="E139" i="2"/>
  <c r="D139" i="2"/>
  <c r="C139" i="2"/>
  <c r="J138" i="2"/>
  <c r="I138" i="2"/>
  <c r="H138" i="2"/>
  <c r="G138" i="2"/>
  <c r="F138" i="2"/>
  <c r="E138" i="2"/>
  <c r="D138" i="2"/>
  <c r="C138" i="2"/>
  <c r="J136" i="2"/>
  <c r="I136" i="2"/>
  <c r="H136" i="2"/>
  <c r="G136" i="2"/>
  <c r="F136" i="2"/>
  <c r="E136" i="2"/>
  <c r="D136" i="2"/>
  <c r="C136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I47" i="2"/>
  <c r="G47" i="2"/>
  <c r="E47" i="2"/>
  <c r="C47" i="2"/>
  <c r="I10" i="2"/>
  <c r="G10" i="2"/>
  <c r="E10" i="2"/>
  <c r="C10" i="2"/>
  <c r="I9" i="2"/>
  <c r="G9" i="2"/>
  <c r="E9" i="2"/>
  <c r="C9" i="2"/>
  <c r="J7" i="2"/>
  <c r="I7" i="2"/>
  <c r="H7" i="2"/>
  <c r="G7" i="2"/>
  <c r="F7" i="2"/>
  <c r="E7" i="2"/>
  <c r="D7" i="2"/>
  <c r="C7" i="2"/>
  <c r="J6" i="2"/>
  <c r="I6" i="2"/>
  <c r="H6" i="2"/>
  <c r="G6" i="2"/>
  <c r="F6" i="2"/>
  <c r="E6" i="2"/>
  <c r="D6" i="2"/>
  <c r="C6" i="2"/>
  <c r="J5" i="2"/>
  <c r="I5" i="2"/>
  <c r="H5" i="2"/>
  <c r="G5" i="2"/>
  <c r="F5" i="2"/>
  <c r="E5" i="2"/>
  <c r="D5" i="2"/>
  <c r="C5" i="2"/>
  <c r="J4" i="2"/>
  <c r="I4" i="2"/>
  <c r="H4" i="2"/>
  <c r="G4" i="2"/>
  <c r="F4" i="2"/>
  <c r="E4" i="2"/>
  <c r="D4" i="2"/>
  <c r="C4" i="2"/>
  <c r="J3" i="2"/>
  <c r="I3" i="2"/>
  <c r="H3" i="2"/>
  <c r="G3" i="2"/>
  <c r="F3" i="2"/>
  <c r="E3" i="2"/>
  <c r="D3" i="2"/>
  <c r="C3" i="2"/>
  <c r="I144" i="1"/>
  <c r="G144" i="1"/>
  <c r="E144" i="1"/>
  <c r="C144" i="1"/>
  <c r="J141" i="1"/>
  <c r="I141" i="1"/>
  <c r="H141" i="1"/>
  <c r="G141" i="1"/>
  <c r="F141" i="1"/>
  <c r="E141" i="1"/>
  <c r="D141" i="1"/>
  <c r="C141" i="1"/>
  <c r="J108" i="1"/>
  <c r="I108" i="1"/>
  <c r="H108" i="1"/>
  <c r="G108" i="1"/>
  <c r="F108" i="1"/>
  <c r="E108" i="1"/>
  <c r="D108" i="1"/>
  <c r="C108" i="1"/>
  <c r="J107" i="1"/>
  <c r="I107" i="1"/>
  <c r="H107" i="1"/>
  <c r="G107" i="1"/>
  <c r="F107" i="1"/>
  <c r="E107" i="1"/>
  <c r="D107" i="1"/>
  <c r="C107" i="1"/>
  <c r="I50" i="1"/>
  <c r="G50" i="1"/>
  <c r="E50" i="1"/>
  <c r="C50" i="1"/>
  <c r="I46" i="1"/>
  <c r="G46" i="1"/>
  <c r="E46" i="1"/>
  <c r="C46" i="1"/>
  <c r="I10" i="1"/>
  <c r="G10" i="1"/>
  <c r="E10" i="1"/>
  <c r="C10" i="1"/>
  <c r="I9" i="1"/>
  <c r="G9" i="1"/>
  <c r="E9" i="1"/>
  <c r="C9" i="1"/>
  <c r="I7" i="1"/>
  <c r="H7" i="1"/>
  <c r="G7" i="1"/>
  <c r="E7" i="1"/>
  <c r="C7" i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  <c r="J4" i="1"/>
  <c r="I4" i="1"/>
  <c r="H4" i="1"/>
  <c r="G4" i="1"/>
  <c r="F4" i="1"/>
  <c r="E4" i="1"/>
  <c r="D4" i="1"/>
  <c r="C4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<sst xmlns="http://schemas.openxmlformats.org/spreadsheetml/2006/main" count="1362" uniqueCount="311">
  <si>
    <t>Yield/Goal Spec</t>
  </si>
  <si>
    <t>Model Parameter / usage</t>
  </si>
  <si>
    <t>BWF Speculative
 Median Die</t>
  </si>
  <si>
    <t>ATF
D1 Median Die</t>
  </si>
  <si>
    <t>ATF D1 1 sigma
DTD, WTW, LTL</t>
  </si>
  <si>
    <t>Scaling applied</t>
  </si>
  <si>
    <t>Array Leakage</t>
  </si>
  <si>
    <t xml:space="preserve"> SET cell, selection leakage per cell (nA)</t>
  </si>
  <si>
    <t>Scaled by area</t>
  </si>
  <si>
    <r>
      <rPr>
        <b/>
        <u/>
        <sz val="11"/>
        <color theme="1"/>
        <rFont val="Verdana"/>
        <family val="2"/>
      </rPr>
      <t xml:space="preserve">Yes: S26A lkg*0.5*1.33
</t>
    </r>
    <r>
      <rPr>
        <sz val="11"/>
        <color theme="1"/>
        <rFont val="Verdana"/>
        <family val="2"/>
      </rPr>
      <t>(Area scaled by 0.5x
1.33x GB assumed)</t>
    </r>
  </si>
  <si>
    <t xml:space="preserve"> RESET cell, selection leakage per cell (nA)</t>
  </si>
  <si>
    <t xml:space="preserve"> @Deselect Write bias DUMMY cell, selection leakage per cell (nA)</t>
  </si>
  <si>
    <t xml:space="preserve"> @Deselect Write +Ccell bias DUMMY cell, selection leakage per cell (nA)</t>
  </si>
  <si>
    <t>Leakage current per cell @Ccell Bias, @ Max Temp (pA)</t>
  </si>
  <si>
    <t>Format of IV equation</t>
  </si>
  <si>
    <t>unchanged</t>
  </si>
  <si>
    <t>IV Equation pre-factor set</t>
  </si>
  <si>
    <t>NA</t>
  </si>
  <si>
    <t>IV Equation pre-factor reset</t>
  </si>
  <si>
    <t>IV Equation Rho1</t>
  </si>
  <si>
    <t>IV Equation Rho2</t>
  </si>
  <si>
    <t>IV Equation sigma</t>
  </si>
  <si>
    <t>IV Equation bita</t>
  </si>
  <si>
    <t>SET (State and Operation)</t>
  </si>
  <si>
    <t>Median die Set Vt, @ min delay after write, @ Max Temp (mV)</t>
  </si>
  <si>
    <t>Median: vt_set_d(0, 1, 2, 3); Sigma: sig_vtset_d(0, 1, 2, 3)</t>
  </si>
  <si>
    <t>Reverted back to S26A - PI to skew SD thk to match S26A</t>
  </si>
  <si>
    <t>Set Vt temperature dependence (mV / C)</t>
  </si>
  <si>
    <t>tc_vtset_d(0, 1, 2, 3)</t>
  </si>
  <si>
    <t>Set Vt bit-to-bit sigma, single pulse, across all drift timescales (mV)</t>
  </si>
  <si>
    <t>sigma_vtset_d(0, 1, 2, 3)</t>
  </si>
  <si>
    <t>Set Vt sigma slope to Set Vt med (mV/mV)</t>
  </si>
  <si>
    <t>slope_vtset_d(0, 1, 2, 3)</t>
  </si>
  <si>
    <t>Max Systematic Xtile SET VT Variation (mV)</t>
  </si>
  <si>
    <t>xtile_set_d(0, 1, 2,3)</t>
  </si>
  <si>
    <t>Nucleation Speed Pre-Cyc (ns) (3 sigma bit)</t>
  </si>
  <si>
    <r>
      <rPr>
        <b/>
        <u/>
        <sz val="11"/>
        <color theme="1"/>
        <rFont val="Verdana"/>
        <family val="2"/>
      </rPr>
      <t>Not yet scaled:</t>
    </r>
    <r>
      <rPr>
        <sz val="11"/>
        <color theme="1"/>
        <rFont val="Verdana"/>
        <family val="2"/>
      </rPr>
      <t xml:space="preserve">
Using 20 nm S26A data
Scaling method TBD (AR: Lu)</t>
    </r>
  </si>
  <si>
    <t>Nucleation Speed Pst-Cyc (ns)  (3 sigma bit)</t>
  </si>
  <si>
    <t>Nucleation Speed Slope to DVT (ns/mV)  (3 sigma bit)</t>
  </si>
  <si>
    <t>N.A.</t>
  </si>
  <si>
    <t>Growth Speed Pre-Cyc (ns) (3 sigma bit)</t>
  </si>
  <si>
    <t>Growth Speed Pst-Cyc (ns) (3 sigma bit)</t>
  </si>
  <si>
    <t>Set pulse SHAPE capability (uA) - I1 N @ 85C</t>
  </si>
  <si>
    <t xml:space="preserve">Max(I1, I4) is Ion_pre_d(0, 1, 2, 3) for read, no tc and pre/post-cycle change implemented. </t>
  </si>
  <si>
    <t>Set pulse SHAPE capability (uA) - I1 M @ 85C</t>
  </si>
  <si>
    <t>Set pulse SHAPE capability (uA) - I1 F @ 85C</t>
  </si>
  <si>
    <t>Set pulse SHAPE capability (uA) - I4 / eSSR setback @ 85C</t>
  </si>
  <si>
    <t>Set pulse SHAPE capability (uA) - I3A N @ 85C</t>
  </si>
  <si>
    <t>I3C is Ion_pre_d(0, 1, 2, 3) for set, no tc and pre/post-cycle change implemented</t>
  </si>
  <si>
    <t>Set pulse SHAPE capability (uA) - I3A M @ 85C</t>
  </si>
  <si>
    <t>Set pulse SHAPE capability (uA) - I3A F @ 85C</t>
  </si>
  <si>
    <t>Set pulse SHAPE capability (uA) - I3B @ 85C</t>
  </si>
  <si>
    <t>Set pulse SHAPE capability (uA) - I3C / eSSR growth  @ 85C</t>
  </si>
  <si>
    <t>Set Pulse Amplitude Temperature Coefficient - 
I1, I3C, I4 (nA/C)</t>
  </si>
  <si>
    <t>N/A</t>
  </si>
  <si>
    <t>SET I3C slope to Resistance (CD proxy) (uA/nm)</t>
  </si>
  <si>
    <t>Used CD skew data from Lu
No need for scaling.</t>
  </si>
  <si>
    <t>RESET (State and Operation)</t>
  </si>
  <si>
    <t>Median die Reset Vt, @ min delay after write, @ Max Temp (mV)</t>
  </si>
  <si>
    <t>Median: vt_rst_d(0, 1, 2, 3); Sigma: sig_vtrst_d(0, 1, 2, 3)</t>
  </si>
  <si>
    <t>Reverted back to S26A - PI to skew PM thk to match S26A dVt</t>
  </si>
  <si>
    <t>Delta Vt @ min delay after write, @Max Temp (mV)</t>
  </si>
  <si>
    <t>Reset Vt temperature dependence (mV / C)</t>
  </si>
  <si>
    <t>tc_vtrst_d(0, 1, 2, 3)</t>
  </si>
  <si>
    <t>Reset Vt bit-to-bit sigma, single pulse, across all drift timescales (mV)</t>
  </si>
  <si>
    <t>sigma_vtrst_d(0, 1, 2, 3)</t>
  </si>
  <si>
    <t>Reset Vt sigma slope to RST Vt med (mV/mV)</t>
  </si>
  <si>
    <t>slope_vtrst_d(0, 1, 2, 3)</t>
  </si>
  <si>
    <t>Max Systematic Xtile RESET VT Variation (mV)</t>
  </si>
  <si>
    <r>
      <rPr>
        <b/>
        <sz val="11"/>
        <color theme="1"/>
        <rFont val="Verdana"/>
        <family val="2"/>
      </rPr>
      <t>Yes: Vt = Vt0 - 1.87835 * (A-254)</t>
    </r>
    <r>
      <rPr>
        <sz val="11"/>
        <color theme="1"/>
        <rFont val="Verdana"/>
        <family val="2"/>
      </rPr>
      <t xml:space="preserve">
Vt in mV and area A in nm2
I_Scaled = 0.6*I_S26A</t>
    </r>
  </si>
  <si>
    <t>Median bit reset current @  85C (uA) pre seasoning</t>
  </si>
  <si>
    <t>CHANGE</t>
  </si>
  <si>
    <t>I-Reset current, @  Max Temp post seasoning 3.54s bit (uA)</t>
  </si>
  <si>
    <t>ion_pre_d(0, 1, 2, 3) for reset</t>
  </si>
  <si>
    <t>Required duration for I_cell &gt; I-Reset current</t>
  </si>
  <si>
    <t>t = 3.3 ns 
(2.05 - 4.55 ns)</t>
  </si>
  <si>
    <t>I-Reset slope to Resistance (CD proxy) (uA/nm)</t>
  </si>
  <si>
    <t>?</t>
  </si>
  <si>
    <t>Maximum over-reset pre cyc (108% of Ireset current for 3.54s bit)</t>
  </si>
  <si>
    <t>Expected Irset increase through cycling (uA)</t>
  </si>
  <si>
    <t>Implemented in the model</t>
  </si>
  <si>
    <t>Imelt current temperature coefficient (uA / C)</t>
  </si>
  <si>
    <t>Ireset current temperature coefficient (uA / C)</t>
  </si>
  <si>
    <t>tc_ion_pre_d(0, 1, 2, 3) for reset</t>
  </si>
  <si>
    <t>I-Melt current Median. @ Max Temp, Initial (uA)</t>
  </si>
  <si>
    <t>I-Melt current Min. @ Max Temp, Initial (uA)</t>
  </si>
  <si>
    <t>I-Melt slope to Resistance (CD proxy) (uA/nm)</t>
  </si>
  <si>
    <t>Slope1 VTI Set2Reset:
Delta Vt after 50uA RESET pulse (mV / uA)</t>
  </si>
  <si>
    <t>On state</t>
  </si>
  <si>
    <t>Rpath (Ohms)</t>
  </si>
  <si>
    <t xml:space="preserve">
Scaled based on Rpath resistance increases (WL, BL, Via), Rperiph not scaled</t>
  </si>
  <si>
    <t>Rperiph (TT CMOS) (ohms) @ VDM0 Read bias</t>
  </si>
  <si>
    <t>CD scaling</t>
  </si>
  <si>
    <t>Rpath@-3s [ED1] (Ohms) - (0C)</t>
  </si>
  <si>
    <t>Rpath@-3s [ED10] (Ohms) (0C)</t>
  </si>
  <si>
    <t>Rpath@+3s [ED1] (Ohms) (85C)</t>
  </si>
  <si>
    <t>Rpath@+3s [ED10] (Ohms) (85C)</t>
  </si>
  <si>
    <t>Ihold equation (uA)</t>
  </si>
  <si>
    <t>Ihold equation - post cycling (uA)</t>
  </si>
  <si>
    <t>Vhold equation (V)</t>
  </si>
  <si>
    <t>Vhold equation - post cycling (V)</t>
  </si>
  <si>
    <r>
      <t>I_hold Max: ED10, ED1
(-3</t>
    </r>
    <r>
      <rPr>
        <sz val="11"/>
        <rFont val="Calibri"/>
        <family val="2"/>
      </rPr>
      <t>σ</t>
    </r>
    <r>
      <rPr>
        <sz val="7.7"/>
        <rFont val="Verdana"/>
        <family val="2"/>
      </rPr>
      <t xml:space="preserve"> </t>
    </r>
    <r>
      <rPr>
        <sz val="11"/>
        <rFont val="Verdana"/>
        <family val="2"/>
      </rPr>
      <t>WL/BL/Via Res, TT CMOS, 0C post-cycles) [uA]</t>
    </r>
  </si>
  <si>
    <t>Ihold3_post_d(0, 1, 2, 3)</t>
  </si>
  <si>
    <t>Ihold4_post_d(0, 1, 2, 3)</t>
  </si>
  <si>
    <r>
      <t>I_hold Min: ED10, ED1
(+3</t>
    </r>
    <r>
      <rPr>
        <sz val="11"/>
        <rFont val="Calibri"/>
        <family val="2"/>
      </rPr>
      <t>σ</t>
    </r>
    <r>
      <rPr>
        <sz val="7.7"/>
        <rFont val="Verdana"/>
        <family val="2"/>
      </rPr>
      <t xml:space="preserve"> </t>
    </r>
    <r>
      <rPr>
        <sz val="11"/>
        <rFont val="Verdana"/>
        <family val="2"/>
      </rPr>
      <t>WL/BL/Via Res, TT CMOS, 85C pre-cycles) [uA]</t>
    </r>
  </si>
  <si>
    <t>Ihold1_pre_d(0, 1, 2, 3)</t>
  </si>
  <si>
    <t>Ihold2_pre_d(0, 1, 2, 3)</t>
  </si>
  <si>
    <t>I_hold @ 30C (uA)</t>
  </si>
  <si>
    <t>5uA FF,</t>
  </si>
  <si>
    <t>1uA</t>
  </si>
  <si>
    <t>7uA MM,</t>
  </si>
  <si>
    <t>9uA NN</t>
  </si>
  <si>
    <t>DVD I@ I-Reset F(Temp in C) (Ohms)</t>
  </si>
  <si>
    <t>Von @ I-Reset, 30C, Initial (V)</t>
  </si>
  <si>
    <t>calculated tc_von_pre_d(0, 1, 2, 3) for reset</t>
  </si>
  <si>
    <t>3V</t>
  </si>
  <si>
    <t>0.07V</t>
  </si>
  <si>
    <t>Von @ I1, 30C, Initial (V)</t>
  </si>
  <si>
    <t>4.2V FF,</t>
  </si>
  <si>
    <t>0.1V</t>
  </si>
  <si>
    <t>4V MM,</t>
  </si>
  <si>
    <t>3.8V NN</t>
  </si>
  <si>
    <t>Von @ I3, 30C, Initial (V)</t>
  </si>
  <si>
    <t>calculated tc_von_pre_d(0, 1, 2, 3) for read and set</t>
  </si>
  <si>
    <t>3.05V</t>
  </si>
  <si>
    <t>0.08V</t>
  </si>
  <si>
    <t>I_hold  @30C, Post-cycles (uA)</t>
  </si>
  <si>
    <t>7uA FF,</t>
  </si>
  <si>
    <t>1.3uA</t>
  </si>
  <si>
    <t>9uA MM,</t>
  </si>
  <si>
    <t>11uA NN</t>
  </si>
  <si>
    <t>Von @ I-Reset, 30C, Post-cycles (V)</t>
  </si>
  <si>
    <t>calculated tc_von_post_d(0, 1, 2, 3) for reset</t>
  </si>
  <si>
    <t>2.6V</t>
  </si>
  <si>
    <t>Von @ I1, 30C, Post-cycles (V)</t>
  </si>
  <si>
    <t>4V FF,</t>
  </si>
  <si>
    <t>0.15V</t>
  </si>
  <si>
    <t>3.8V MM,</t>
  </si>
  <si>
    <t>3.6V NN</t>
  </si>
  <si>
    <t>Von @ I3, 30C, Post-cycles (V)</t>
  </si>
  <si>
    <t>calculated tc_von_post_d(0, 1, 2, 3) for read and set</t>
  </si>
  <si>
    <t>2.55V</t>
  </si>
  <si>
    <t>I_hold @ 85C (uA) - FF (uA) - pre cyc</t>
  </si>
  <si>
    <t>I_hold @ 85C (uA) - MM (uA) - pre cyc</t>
  </si>
  <si>
    <t>I_hold @ 85C (uA) - NN (uA) - pre cyc</t>
  </si>
  <si>
    <t>Von @ I-Reset, @85C, Initial (V)</t>
  </si>
  <si>
    <t>von_pre_d(0, 1, 2, 3) for reset</t>
  </si>
  <si>
    <t>Von @ I1,  @85C, Initial (V)</t>
  </si>
  <si>
    <t>4.1V FF,</t>
  </si>
  <si>
    <t>3.9V MM,</t>
  </si>
  <si>
    <t>3.7V NN</t>
  </si>
  <si>
    <t>Von @ I3,  @85C, Initial (V)</t>
  </si>
  <si>
    <t>von_pre_d(0, 1, 2, 3) for read and set</t>
  </si>
  <si>
    <t>I_hold  @85C, Post-cycles (uA)</t>
  </si>
  <si>
    <t>6uA FF,</t>
  </si>
  <si>
    <t>8uA MM,</t>
  </si>
  <si>
    <t>10uA NN</t>
  </si>
  <si>
    <t>Von @ I-Reset,  @85C, Post-cycles (V)</t>
  </si>
  <si>
    <t>von_post_d(0, 1, 2, 3) for reset</t>
  </si>
  <si>
    <t>Von @ I1,  @85C, Post-cycles (V)</t>
  </si>
  <si>
    <t>3.9V FF,</t>
  </si>
  <si>
    <t>3.7V MM,</t>
  </si>
  <si>
    <t>3.5V NN</t>
  </si>
  <si>
    <t>Von @ I3,  @85C, Post-cycles (V)</t>
  </si>
  <si>
    <t>von_post_d(0, 1, 2, 3) for read and set</t>
  </si>
  <si>
    <t>2.5V</t>
  </si>
  <si>
    <t>Reliability</t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</si>
  <si>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</t>
    </r>
    <r>
      <rPr>
        <b/>
        <sz val="11"/>
        <rFont val="Verdana"/>
        <family val="2"/>
      </rPr>
      <t xml:space="preserve">VDM0 [1us -&gt; 3s] </t>
    </r>
    <r>
      <rPr>
        <sz val="11"/>
        <rFont val="Verdana"/>
        <family val="2"/>
      </rPr>
      <t>@ Max Temp [85C] @ ED1 @M3</t>
    </r>
    <r>
      <rPr>
        <b/>
        <i/>
        <sz val="11"/>
        <rFont val="Verdana"/>
        <family val="2"/>
      </rPr>
      <t>54</t>
    </r>
    <r>
      <rPr>
        <sz val="11"/>
        <rFont val="Verdana"/>
        <family val="2"/>
      </rPr>
      <t>S (mV)</t>
    </r>
  </si>
  <si>
    <t>drift1_rst_d(0, 1, 2, 3)</t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</si>
  <si>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4M NWs</t>
    </r>
    <r>
      <rPr>
        <sz val="11"/>
        <rFont val="Verdana"/>
        <family val="2"/>
      </rPr>
      <t xml:space="preserve"> for 
</t>
    </r>
    <r>
      <rPr>
        <b/>
        <sz val="11"/>
        <rFont val="Verdana"/>
        <family val="2"/>
      </rPr>
      <t xml:space="preserve">VDM0 [1us -&gt; 3s] </t>
    </r>
    <r>
      <rPr>
        <sz val="11"/>
        <rFont val="Verdana"/>
        <family val="2"/>
      </rPr>
      <t>@ Max Temp [85C] @ ED1 @M3</t>
    </r>
    <r>
      <rPr>
        <b/>
        <i/>
        <sz val="11"/>
        <rFont val="Verdana"/>
        <family val="2"/>
      </rPr>
      <t>54</t>
    </r>
    <r>
      <rPr>
        <sz val="11"/>
        <rFont val="Verdana"/>
        <family val="2"/>
      </rPr>
      <t>S (mV)</t>
    </r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</si>
  <si>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 xml:space="preserve">time-0 (or 4M NWs) </t>
    </r>
    <r>
      <rPr>
        <sz val="11"/>
        <rFont val="Verdana"/>
        <family val="2"/>
      </rPr>
      <t xml:space="preserve">for 
VDM1/2 </t>
    </r>
    <r>
      <rPr>
        <b/>
        <sz val="11"/>
        <rFont val="Verdana"/>
        <family val="2"/>
      </rPr>
      <t>[1us -&gt; 12hr]</t>
    </r>
    <r>
      <rPr>
        <sz val="11"/>
        <rFont val="Verdana"/>
        <family val="2"/>
      </rPr>
      <t xml:space="preserve"> @ Max Temp [85C] @ ED1 @M3S (mV)</t>
    </r>
  </si>
  <si>
    <r>
      <rPr>
        <b/>
        <sz val="11"/>
        <rFont val="Verdana"/>
        <family val="2"/>
      </rPr>
      <t>Reset Vt Drift</t>
    </r>
    <r>
      <rPr>
        <sz val="11"/>
        <rFont val="Verdana"/>
        <family val="2"/>
      </rPr>
      <t xml:space="preserve"> between min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VDM0 -&gt; </t>
    </r>
    <r>
      <rPr>
        <b/>
        <sz val="11"/>
        <rFont val="Verdana"/>
        <family val="2"/>
      </rPr>
      <t>BOL- 5yrs</t>
    </r>
    <r>
      <rPr>
        <sz val="11"/>
        <rFont val="Verdana"/>
        <family val="2"/>
      </rPr>
      <t xml:space="preserve"> @ max shelf temp [40C] 
[equiv: </t>
    </r>
    <r>
      <rPr>
        <b/>
        <sz val="11"/>
        <rFont val="Verdana"/>
        <family val="2"/>
      </rPr>
      <t>1us -&gt; 60hr</t>
    </r>
    <r>
      <rPr>
        <sz val="11"/>
        <rFont val="Verdana"/>
        <family val="2"/>
      </rPr>
      <t>, @85C] @ ED1 @M3S (mV)</t>
    </r>
  </si>
  <si>
    <t>drift3_rst_d(0, 1, 2, 3)</t>
  </si>
  <si>
    <t>Reset VT Drift slope to DVT (mV/mV)</t>
  </si>
  <si>
    <t>slope_drift_d(0, 1, 2, 3)</t>
  </si>
  <si>
    <r>
      <rPr>
        <b/>
        <sz val="11"/>
        <rFont val="Verdana"/>
        <family val="2"/>
      </rPr>
      <t>Set +RD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VDM0 </t>
    </r>
    <r>
      <rPr>
        <b/>
        <sz val="11"/>
        <rFont val="Verdana"/>
        <family val="2"/>
      </rPr>
      <t>[1us -&gt; 10s]</t>
    </r>
    <r>
      <rPr>
        <sz val="11"/>
        <rFont val="Verdana"/>
        <family val="2"/>
      </rPr>
      <t xml:space="preserve"> @ Max Temp [85C] @ </t>
    </r>
    <r>
      <rPr>
        <b/>
        <sz val="11"/>
        <rFont val="Verdana"/>
        <family val="2"/>
      </rPr>
      <t>EDrisk</t>
    </r>
    <r>
      <rPr>
        <sz val="11"/>
        <rFont val="Verdana"/>
        <family val="2"/>
      </rPr>
      <t xml:space="preserve"> @M3S (mV)</t>
    </r>
  </si>
  <si>
    <t>drift1_set_d(0, 1, 2, 3)</t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</si>
  <si>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time-0</t>
    </r>
    <r>
      <rPr>
        <sz val="11"/>
        <rFont val="Verdana"/>
        <family val="2"/>
      </rPr>
      <t xml:space="preserve"> for 
VDM1/2 </t>
    </r>
    <r>
      <rPr>
        <b/>
        <sz val="11"/>
        <rFont val="Verdana"/>
        <family val="2"/>
      </rPr>
      <t xml:space="preserve">[3s -&gt; 12hr] </t>
    </r>
    <r>
      <rPr>
        <sz val="11"/>
        <rFont val="Verdana"/>
        <family val="2"/>
      </rPr>
      <t xml:space="preserve">@ Max Temp [85C] @ </t>
    </r>
    <r>
      <rPr>
        <b/>
        <sz val="11"/>
        <rFont val="Verdana"/>
        <family val="2"/>
      </rPr>
      <t>EDrisk</t>
    </r>
    <r>
      <rPr>
        <sz val="11"/>
        <rFont val="Verdana"/>
        <family val="2"/>
      </rPr>
      <t xml:space="preserve"> @M3S (mV)</t>
    </r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</si>
  <si>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for VDM0 -&gt; </t>
    </r>
    <r>
      <rPr>
        <b/>
        <sz val="11"/>
        <rFont val="Verdana"/>
        <family val="2"/>
      </rPr>
      <t>BOL- 5yrs</t>
    </r>
    <r>
      <rPr>
        <sz val="11"/>
        <rFont val="Verdana"/>
        <family val="2"/>
      </rPr>
      <t xml:space="preserve"> @ max shelf temp [40C] 
[equiv: </t>
    </r>
    <r>
      <rPr>
        <b/>
        <sz val="11"/>
        <rFont val="Verdana"/>
        <family val="2"/>
      </rPr>
      <t>1us -&gt; 60hr</t>
    </r>
    <r>
      <rPr>
        <sz val="11"/>
        <rFont val="Verdana"/>
        <family val="2"/>
      </rPr>
      <t xml:space="preserve">, @85C] @ </t>
    </r>
    <r>
      <rPr>
        <b/>
        <sz val="11"/>
        <rFont val="Verdana"/>
        <family val="2"/>
      </rPr>
      <t>EDrisk</t>
    </r>
    <r>
      <rPr>
        <sz val="11"/>
        <rFont val="Verdana"/>
        <family val="2"/>
      </rPr>
      <t xml:space="preserve"> @M3S (mV)</t>
    </r>
  </si>
  <si>
    <t>drift3_set_d(0, 1, 2, 3)</t>
  </si>
  <si>
    <r>
      <rPr>
        <b/>
        <sz val="11"/>
        <rFont val="Verdana"/>
        <family val="2"/>
      </rPr>
      <t>Set +RD Vt Drift</t>
    </r>
    <r>
      <rPr>
        <sz val="11"/>
        <rFont val="Verdana"/>
        <family val="2"/>
      </rPr>
      <t xml:space="preserve"> between min delay after write -&gt; Max delay after write at </t>
    </r>
    <r>
      <rPr>
        <b/>
        <sz val="11"/>
        <rFont val="Verdana"/>
        <family val="2"/>
      </rPr>
      <t>4M NWs</t>
    </r>
    <r>
      <rPr>
        <sz val="11"/>
        <rFont val="Verdana"/>
        <family val="2"/>
      </rPr>
      <t xml:space="preserve"> for 
VDM0 </t>
    </r>
    <r>
      <rPr>
        <b/>
        <sz val="11"/>
        <rFont val="Verdana"/>
        <family val="2"/>
      </rPr>
      <t>[1us -&gt; 10s]</t>
    </r>
    <r>
      <rPr>
        <sz val="11"/>
        <rFont val="Verdana"/>
        <family val="2"/>
      </rPr>
      <t xml:space="preserve"> @ Max Temp [85C] @ ED1 @M3S (mV)</t>
    </r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</si>
  <si>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-&gt; Max delay after write at</t>
    </r>
    <r>
      <rPr>
        <b/>
        <sz val="11"/>
        <rFont val="Verdana"/>
        <family val="2"/>
      </rPr>
      <t xml:space="preserve"> 4M NWs</t>
    </r>
    <r>
      <rPr>
        <sz val="11"/>
        <rFont val="Verdana"/>
        <family val="2"/>
      </rPr>
      <t xml:space="preserve"> for 
VDM1/2 </t>
    </r>
    <r>
      <rPr>
        <b/>
        <sz val="11"/>
        <rFont val="Verdana"/>
        <family val="2"/>
      </rPr>
      <t xml:space="preserve">[3s -&gt; 12hr] </t>
    </r>
    <r>
      <rPr>
        <sz val="11"/>
        <rFont val="Verdana"/>
        <family val="2"/>
      </rPr>
      <t>@ Max Temp [85C] @ ED1 @M3S (mV)</t>
    </r>
  </si>
  <si>
    <r>
      <rPr>
        <b/>
        <sz val="11"/>
        <rFont val="Verdana"/>
        <family val="2"/>
      </rPr>
      <t>Set + RD Vt Drift</t>
    </r>
    <r>
      <rPr>
        <sz val="11"/>
        <rFont val="Verdana"/>
        <family val="2"/>
      </rPr>
      <t xml:space="preserve"> between min delay after write for VDM0 -&gt; </t>
    </r>
    <r>
      <rPr>
        <b/>
        <sz val="11"/>
        <rFont val="Verdana"/>
        <family val="2"/>
      </rPr>
      <t>BOL- 5yrs</t>
    </r>
    <r>
      <rPr>
        <sz val="11"/>
        <rFont val="Verdana"/>
        <family val="2"/>
      </rPr>
      <t xml:space="preserve"> @ max shelf temp [40C] 
[equiv: </t>
    </r>
    <r>
      <rPr>
        <b/>
        <sz val="11"/>
        <rFont val="Verdana"/>
        <family val="2"/>
      </rPr>
      <t>1us -&gt; 60hr</t>
    </r>
    <r>
      <rPr>
        <sz val="11"/>
        <rFont val="Verdana"/>
        <family val="2"/>
      </rPr>
      <t xml:space="preserve">, @85C] @ </t>
    </r>
    <r>
      <rPr>
        <b/>
        <sz val="11"/>
        <rFont val="Verdana"/>
        <family val="2"/>
      </rPr>
      <t>ED1</t>
    </r>
    <r>
      <rPr>
        <sz val="11"/>
        <rFont val="Verdana"/>
        <family val="2"/>
      </rPr>
      <t xml:space="preserve"> @M3S (mV)</t>
    </r>
  </si>
  <si>
    <r>
      <t xml:space="preserve">Additional Widnow loss due to </t>
    </r>
    <r>
      <rPr>
        <b/>
        <sz val="11"/>
        <rFont val="Verdana"/>
        <family val="2"/>
      </rPr>
      <t xml:space="preserve">Bias drift [mV] </t>
    </r>
    <r>
      <rPr>
        <sz val="11"/>
        <rFont val="Verdana"/>
        <family val="2"/>
      </rPr>
      <t>(add in addition to unbiased drift for Power-On specs - Time &lt;= 12hr)  (Reliability/Performance)</t>
    </r>
  </si>
  <si>
    <t>∆E3 Vt Shift @ EOL [1 -&gt; 4M NW] @ ED1 @ M354S (mV)</t>
  </si>
  <si>
    <t>∆E3 Vt Shift @ First Dynamic VDM point [1 -&gt; 20k NW] @ ED1 @ M354S (mV)</t>
  </si>
  <si>
    <t>E2 Vt Turnaround [Vt shift from 150k -&gt; 4M NW] @ ED1 @ M329S (mV)</t>
  </si>
  <si>
    <t>E1 Min Vt through cycles [1 - 4M NW] @ ED1 @ M354S (mV)</t>
  </si>
  <si>
    <t>∆E2 Vt Shift @ EOL [1 -&gt; 4M NW] @ ED1 @ MED (mV)</t>
  </si>
  <si>
    <t>∆E2 Vt Shift @ E2_Min [1 -&gt; 150k NW] @ ED1 @MED (mV)</t>
  </si>
  <si>
    <t>∆E2 Vt Shift @ First Dynamic VDM point [1 -&gt; 20k NW] @ ED1 @ MED (mV)</t>
  </si>
  <si>
    <t>E2 Sigma (mV) @ EOL [4M] @ ED1</t>
  </si>
  <si>
    <t>VT window reduction between time-0 -&gt; EOL [ 1 -&gt;4M cycles] @worse-case sigma @VDM0 @ED1 (mV)</t>
  </si>
  <si>
    <t>Array Parasitics</t>
  </si>
  <si>
    <t>Array via resistance (30C) (Ohm/via)
Values for WSiN elim - assume everything matches projection for AV0</t>
  </si>
  <si>
    <t>Median: resav(0, 1, 3, 5, 7), Sigma: sigma_resav(0, 1, 3, 5, 7)</t>
  </si>
  <si>
    <t>Yes: 1.5x S26A data
(via CD only scaling in one direction)
Updated to reflect WSiN elim (match AV1 -&gt; 7 to AV0)</t>
  </si>
  <si>
    <r>
      <t>Array via resistance temperature dependence (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) ( / C)
R = Rref [1+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(T-Tref)] for all vias (WSiN elim)</t>
    </r>
  </si>
  <si>
    <t>tcav(0, 1, 3, 5, 7)</t>
  </si>
  <si>
    <t>Assumption is that temperature dependence does not change with scaling. Updated for WSiN elim</t>
  </si>
  <si>
    <t>Wordline resistance (30C) (Ohm/cell)</t>
  </si>
  <si>
    <t>D1||D2</t>
  </si>
  <si>
    <r>
      <rPr>
        <b/>
        <u/>
        <sz val="11"/>
        <color theme="1"/>
        <rFont val="Verdana"/>
        <family val="2"/>
      </rPr>
      <t>Yes: 1.55x of S26A data.</t>
    </r>
    <r>
      <rPr>
        <sz val="11"/>
        <color theme="1"/>
        <rFont val="Verdana"/>
        <family val="2"/>
      </rPr>
      <t xml:space="preserve">
Rho increase 1.3x, 
Pitch shrunk from 41 -&gt; 33.5 nm
Smaller CD: 20.5 -&gt; 14
Total = 1.3* (33.5*20.5)/(41*14) = 1.55x, updated +1 nm low RW</t>
    </r>
  </si>
  <si>
    <t>Median: reswl(1, 2, 3), Sigma: sigma_reswl(1, 2, 3)</t>
  </si>
  <si>
    <r>
      <t>WL resistance temperature dependence (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) ( / C)
R = Rref [1+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(T-Tref)]</t>
    </r>
  </si>
  <si>
    <t>tcwl(1, 2, 3)</t>
  </si>
  <si>
    <t>Assumption is that temperature dependence does not change with scaling (needs validated)</t>
  </si>
  <si>
    <t>Bitline resistance (30C) (Ohm/cell</t>
  </si>
  <si>
    <t>D0||D1</t>
  </si>
  <si>
    <t>Median: resbl(1, 2), Sigma: sigma_resbl(1, 2)</t>
  </si>
  <si>
    <r>
      <t>BL resistance temperature dependence (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) ( / C)
R = Rref [1+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(T-Tref)]</t>
    </r>
  </si>
  <si>
    <t>tcbl(1, 2)</t>
  </si>
  <si>
    <t>Wordline capacitance (30C) (aF / cell /side)</t>
  </si>
  <si>
    <t>Median: capwl(1, 2, 3), Sigma: sigma_capwl(1, 2, 3)</t>
  </si>
  <si>
    <r>
      <rPr>
        <b/>
        <u/>
        <sz val="11"/>
        <color theme="1"/>
        <rFont val="Verdana"/>
        <family val="2"/>
      </rPr>
      <t xml:space="preserve">Yes: 0.86x of S26A
</t>
    </r>
    <r>
      <rPr>
        <sz val="11"/>
        <color theme="1"/>
        <rFont val="Verdana"/>
        <family val="2"/>
      </rPr>
      <t>Pitch shrunk from 41 nm -&gt; 33.5 nm
Space reduced from 20.5 -&gt; 19.5 nm
(33.5*20.5)/(41*19.5) = 0.86
Corrected for parasitic cap normalization, updated +1 nm low RW</t>
    </r>
  </si>
  <si>
    <t>Bitline capacitance (30C) (aF / cell /side)</t>
  </si>
  <si>
    <t>Median: capbl(1, 2), Sigma: sigma_capbl(1, 2)</t>
  </si>
  <si>
    <t>Cell capacitance at 1.2V (30C)  (aF / cell)</t>
  </si>
  <si>
    <t>Median: capdeck(0, 1, 2, 3), Sigma: sigma_capdeck(0, 1, 2, 3)</t>
  </si>
  <si>
    <t>Yes: 0.5x of S26A (area scaling)
Corrected for parasitic cap normalization</t>
  </si>
  <si>
    <t>Other</t>
  </si>
  <si>
    <t>Maximum Vt at first fire (V)</t>
  </si>
  <si>
    <t xml:space="preserve"> 9.3 V @ 85C 
with 100% 
unfired cells</t>
  </si>
  <si>
    <t xml:space="preserve">Maximum Vt in customer operation, @Max Temp (V)
rst VT ED1 + sigma*3.54 +xitle + 60hr rst drift </t>
  </si>
  <si>
    <t>black</t>
  </si>
  <si>
    <t>BKM/Eng. judgement</t>
  </si>
  <si>
    <t>red</t>
  </si>
  <si>
    <t>consistency not warrented</t>
  </si>
  <si>
    <t>orange</t>
  </si>
  <si>
    <t>quantification sensitivity unclear</t>
  </si>
  <si>
    <t>D0 Median Die</t>
  </si>
  <si>
    <t>D0 1 sigma
DTD, WTW, LTL</t>
  </si>
  <si>
    <t>D1 Median Die</t>
  </si>
  <si>
    <t>D1 1 sigma
DTD, WTW, LTL</t>
  </si>
  <si>
    <t>D2 Median Die</t>
  </si>
  <si>
    <t>D2 1 sigma
DTD, WTW, LTL</t>
  </si>
  <si>
    <t>D3 Median Die</t>
  </si>
  <si>
    <t>D3 1 sigma
DTD, WTW, LTL</t>
  </si>
  <si>
    <t>N.A</t>
  </si>
  <si>
    <t>Rpath = WL dec dist* WL res + BL dec dist* BL res + Via res + Rperiph</t>
  </si>
  <si>
    <t>Ihold = 18.51-0.000103* Rpath - 0.0018* (T-85)</t>
  </si>
  <si>
    <t>Ihold_post = Ihold_pre + 2 uA</t>
  </si>
  <si>
    <t>Vhold = 2.42+1.21e-5*Rpath - 0.018* (T-85)</t>
  </si>
  <si>
    <t>Vhold_post = Vhold_pre - 0.2 uA</t>
  </si>
  <si>
    <t>dVdI (Ohms) = 2000 + 36*(T-30)</t>
  </si>
  <si>
    <t>AV0, 1, 3, 5:
915 Ohms / Via
AV7: 1365 Ohms / Via</t>
  </si>
  <si>
    <t>AV0, 1, 3, 5:
75 Ohms / Via
AV7: 110 Ohms / Via</t>
  </si>
  <si>
    <t>0.8E-3 /C</t>
  </si>
  <si>
    <t>D0</t>
  </si>
  <si>
    <t>D0||D3</t>
  </si>
  <si>
    <t>WL1/4: 1.7E-3  /C
WL23: 1.1E-3  /C</t>
  </si>
  <si>
    <t>D2||D3</t>
  </si>
  <si>
    <t>BL12/BL23: 1.3E-3 /1.7E-3  /C</t>
  </si>
  <si>
    <t>D3</t>
  </si>
  <si>
    <t>Max(I1, I4) is Ion_pre_d(0, 1, 2, 3) for read, no tc and pre/post-cycle change implemented. I3 is Ion_pre_d(0, 1, 2, 3) for set, no tc and pre/post-cyloe change implemented</t>
  </si>
  <si>
    <t>Set pulse SHAPE capability (uA) - I3 / eSSR growth  @ 85C</t>
  </si>
  <si>
    <t>Set Pulse Amplitude Temperature Coefficient - 
I1, I3, I4 (nA/C)</t>
  </si>
  <si>
    <t>SET I3 slope (CD proxy) (uA/nm)</t>
  </si>
  <si>
    <t>Reset pulse amplitude temperature coefficient (nA/C)</t>
  </si>
  <si>
    <t>I-Reset slope (CD proxy) (uA/nm)</t>
  </si>
  <si>
    <t>I-Melt slope (CD proxy) (uA/nm)</t>
  </si>
  <si>
    <t>Rperiph (TT CMOS) (ohms) @ Read bias</t>
  </si>
  <si>
    <t>Vhold_post = Vhold_pre - 0.2</t>
  </si>
  <si>
    <t>I_hold Max: ED10, ED1
(-3σ WL/BL/Via Res, TT CMOS, 0C post-cycles) [uA]</t>
  </si>
  <si>
    <t>I_hold Min: ED10, ED1
(+3σ WL/BL/Via Res, TT CMOS, 85C pre-cycles) [uA]</t>
  </si>
  <si>
    <t>13uA FF,</t>
  </si>
  <si>
    <t>12uA FF,</t>
  </si>
  <si>
    <t>14uA MM,</t>
  </si>
  <si>
    <t>13.7uA MM,</t>
  </si>
  <si>
    <t>14.3uA MM,</t>
  </si>
  <si>
    <t>15uA NN</t>
  </si>
  <si>
    <t>16uA NN</t>
  </si>
  <si>
    <t>15.5uA NN</t>
  </si>
  <si>
    <t>dVdI (Ohms) = 1000 + 18*(T-30)</t>
  </si>
  <si>
    <t>3.3V FF,</t>
  </si>
  <si>
    <t>3.2V MM,</t>
  </si>
  <si>
    <t>3.1V NN</t>
  </si>
  <si>
    <t>15uA FF,</t>
  </si>
  <si>
    <t>14uA FF,</t>
  </si>
  <si>
    <t>16uA MM,</t>
  </si>
  <si>
    <t>15.7uA MM,</t>
  </si>
  <si>
    <t>16.3uA MM,</t>
  </si>
  <si>
    <t>17uA NN</t>
  </si>
  <si>
    <t>18uA NN</t>
  </si>
  <si>
    <t>17.5uA NN</t>
  </si>
  <si>
    <t xml:space="preserve">2.6V </t>
  </si>
  <si>
    <t>3.1V FF,</t>
  </si>
  <si>
    <t>3V MM,</t>
  </si>
  <si>
    <t>2.9V NN</t>
  </si>
  <si>
    <t>DVDI @ I-Reset @ 85C (Ohm)</t>
  </si>
  <si>
    <t>2k</t>
  </si>
  <si>
    <t>3.2V FF,</t>
  </si>
  <si>
    <t>3.1V MM,</t>
  </si>
  <si>
    <t>3V NN</t>
  </si>
  <si>
    <t>13 uA FF,</t>
  </si>
  <si>
    <t>15uA MM,</t>
  </si>
  <si>
    <t>15.3uA MM,</t>
  </si>
  <si>
    <t>16.5uA NN</t>
  </si>
  <si>
    <t>3V FF,</t>
  </si>
  <si>
    <t>2.9V MM,</t>
  </si>
  <si>
    <t>2.8V NN</t>
  </si>
  <si>
    <t>Array via resistance (30C) (Ohm/Via)</t>
  </si>
  <si>
    <t>AV0:610 Ohm/Via 
AV1:4.3k Ohm/Via 
AV3:4.8k Ohm/Via   
AV5: 4.8k Ohm/via 
AV7:5.1k Ohm/Via</t>
  </si>
  <si>
    <t xml:space="preserve">AV0:50 Ohm/Via 
AV1:400 Ohm/Via 
AV3: 700 Ohm/Via 
AV5: 500 Ohm/Via 
AV7:500 Ohm/Via </t>
  </si>
  <si>
    <r>
      <t>Array via resistance temperature dependence (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) ( /C)
R = Rref [1+</t>
    </r>
    <r>
      <rPr>
        <sz val="11"/>
        <rFont val="Symbol"/>
        <family val="1"/>
        <charset val="2"/>
      </rPr>
      <t>a</t>
    </r>
    <r>
      <rPr>
        <sz val="11"/>
        <rFont val="Verdana"/>
        <family val="2"/>
      </rPr>
      <t>(T-Tref)] for all array vias</t>
    </r>
  </si>
  <si>
    <t>AV0: 0.8E-3 /C
AV1/AV3/AV5/AV7: -3.50E-03, -3.35E-03, -3.23E-03, -3.10E-03 / C</t>
  </si>
  <si>
    <t>WL1/4: 1.7E-3 / C
WL23: 1.1E-3 / C</t>
  </si>
  <si>
    <t>BL12/BL23: 1.3E-3 /1.7E-3 /C</t>
  </si>
  <si>
    <t xml:space="preserve">Cell capacitance at 1.2V (30C)  (aF / cell) </t>
  </si>
  <si>
    <t xml:space="preserve"> 9.1 V @ 85C 
with 100% 
unfired cells</t>
  </si>
  <si>
    <t>Maximum Vt in customer operation, @Max Temp (V)
rst VT ED1 + sigma*3.54 +xitle + 60hr rst drift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</si>
</sst>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11"/>
      <color rgb="FF00B050"/>
      <name val="Verdana"/>
      <family val="2"/>
    </font>
    <font>
      <sz val="11"/>
      <color rgb="FF000000"/>
      <name val="Verdana"/>
      <family val="2"/>
    </font>
    <font>
      <sz val="11"/>
      <name val="Calibri"/>
      <family val="2"/>
    </font>
    <font>
      <sz val="7.7"/>
      <name val="Verdana"/>
      <family val="2"/>
    </font>
    <font>
      <b/>
      <i/>
      <sz val="11"/>
      <name val="Verdana"/>
      <family val="2"/>
    </font>
    <font>
      <sz val="11"/>
      <name val="Symbol"/>
      <family val="1"/>
      <charset val="2"/>
    </font>
    <font>
      <sz val="11"/>
      <color rgb="FFFF0000"/>
      <name val="Verdana"/>
      <family val="2"/>
    </font>
    <font>
      <sz val="11"/>
      <color rgb="FFBF8F00"/>
      <name val="Verdana"/>
      <family val="2"/>
    </font>
    <font>
      <sz val="11"/>
      <color rgb="FFBF8F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7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6" xfId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8" xfId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4" fillId="0" borderId="8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164" fontId="6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 vertical="center"/>
    </xf>
    <xf numFmtId="164" fontId="6" fillId="0" borderId="8" xfId="0" quotePrefix="1" applyNumberFormat="1" applyFont="1" applyFill="1" applyBorder="1" applyAlignment="1">
      <alignment horizontal="center" vertical="center"/>
    </xf>
    <xf numFmtId="164" fontId="4" fillId="0" borderId="8" xfId="0" quotePrefix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/>
    </xf>
    <xf numFmtId="2" fontId="4" fillId="0" borderId="24" xfId="0" applyNumberFormat="1" applyFont="1" applyFill="1" applyBorder="1" applyAlignment="1">
      <alignment horizontal="center" vertical="center" wrapText="1"/>
    </xf>
    <xf numFmtId="2" fontId="4" fillId="0" borderId="25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6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8" fillId="0" borderId="2" xfId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0" fontId="8" fillId="0" borderId="2" xfId="1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1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8" fillId="0" borderId="6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vertical="center" wrapText="1"/>
    </xf>
    <xf numFmtId="0" fontId="6" fillId="0" borderId="15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wrapText="1"/>
    </xf>
    <xf numFmtId="0" fontId="6" fillId="0" borderId="6" xfId="1" applyFont="1" applyFill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vertical="center"/>
    </xf>
    <xf numFmtId="0" fontId="6" fillId="0" borderId="10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7</xdr:row>
      <xdr:rowOff>28575</xdr:rowOff>
    </xdr:from>
    <xdr:to>
      <xdr:col>7</xdr:col>
      <xdr:colOff>0</xdr:colOff>
      <xdr:row>7</xdr:row>
      <xdr:rowOff>476250</xdr:rowOff>
    </xdr:to>
    <xdr:pic>
      <xdr:nvPicPr>
        <xdr:cNvPr id="2" name="Picture 1" descr="I=(V/(V_th×ρ_1 )∙e^(V/(V_th∙σ))+V/(V_th×ρ_2 )∙e^(V/(V_th∙β)))*prefactor">
          <a:extLst>
            <a:ext uri="{FF2B5EF4-FFF2-40B4-BE49-F238E27FC236}">
              <a16:creationId xmlns:a16="http://schemas.microsoft.com/office/drawing/2014/main" id="{0138700E-CE41-44F0-A655-8A7E13A97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2181225"/>
          <a:ext cx="3114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1567815</xdr:colOff>
      <xdr:row>7</xdr:row>
      <xdr:rowOff>33290</xdr:rowOff>
    </xdr:from>
    <xdr:to>
      <xdr:col>7</xdr:col>
      <xdr:colOff>1082882</xdr:colOff>
      <xdr:row>7</xdr:row>
      <xdr:rowOff>471965</xdr:rowOff>
    </xdr:to>
    <xdr:pic>
      <xdr:nvPicPr>
        <xdr:cNvPr id="2" name="Picture 1" descr="I=(V/(V_th×ρ_1 )∙e^(V/(V_th∙σ))+V/(V_th×ρ_2 )∙e^(V/(V_th∙β)))*prefactor">
          <a:extLst>
            <a:ext uri="{FF2B5EF4-FFF2-40B4-BE49-F238E27FC236}">
              <a16:creationId xmlns:a16="http://schemas.microsoft.com/office/drawing/2014/main" id="{4AFF6F45-E795-410B-AD88-5CC8318CB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2065" y="2024015"/>
          <a:ext cx="3715592" cy="43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1567815</xdr:colOff>
      <xdr:row>7</xdr:row>
      <xdr:rowOff>33290</xdr:rowOff>
    </xdr:from>
    <xdr:to>
      <xdr:col>7</xdr:col>
      <xdr:colOff>1082882</xdr:colOff>
      <xdr:row>7</xdr:row>
      <xdr:rowOff>471965</xdr:rowOff>
    </xdr:to>
    <xdr:pic>
      <xdr:nvPicPr>
        <xdr:cNvPr id="2" name="Picture 1" descr="I=(V/(V_th×ρ_1 )∙e^(V/(V_th∙σ))+V/(V_th×ρ_2 )∙e^(V/(V_th∙β)))*prefactor">
          <a:extLst>
            <a:ext uri="{FF2B5EF4-FFF2-40B4-BE49-F238E27FC236}">
              <a16:creationId xmlns:a16="http://schemas.microsoft.com/office/drawing/2014/main" id="{B1D5B4D9-AA4B-4213-BCC7-20700B91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5840" y="2204990"/>
          <a:ext cx="3658442" cy="43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AB0B-793D-4B42-BB6A-CA4DB39B26CD}">
  <dimension ref="A1:H144"/>
  <sheetViews>
    <sheetView tabSelected="1" workbookViewId="0">
      <selection activeCell="D13" sqref="D13"/>
    </sheetView>
  </sheetViews>
  <sheetFormatPr defaultColWidth="8.85546875" defaultRowHeight="14.25" x14ac:dyDescent="0.25"/>
  <cols>
    <col min="1" max="1" width="81.7109375" style="22" customWidth="1"/>
    <col min="2" max="2" width="46" style="22" hidden="1" customWidth="1"/>
    <col min="3" max="3" width="17" style="103" bestFit="1" customWidth="1"/>
    <col min="4" max="4" width="17" style="22" customWidth="1"/>
    <col min="5" max="6" width="19.140625" style="47" bestFit="1" customWidth="1"/>
    <col min="7" max="7" width="29.140625" style="47" customWidth="1"/>
    <col min="8" max="8" width="79.85546875" style="6" customWidth="1"/>
    <col min="9" max="16384" width="8.85546875" style="6"/>
  </cols>
  <sheetData>
    <row r="1" spans="1:8" ht="42.75" x14ac:dyDescent="0.25">
      <c r="A1" s="1" t="s">
        <v>0</v>
      </c>
      <c r="B1" s="2" t="s">
        <v>1</v>
      </c>
      <c r="C1" s="1"/>
      <c r="D1" s="2"/>
      <c r="E1" s="4" t="s">
        <v>2</v>
      </c>
      <c r="F1" s="4" t="s">
        <v>3</v>
      </c>
      <c r="G1" s="4" t="s">
        <v>4</v>
      </c>
      <c r="H1" s="5" t="s">
        <v>5</v>
      </c>
    </row>
    <row r="2" spans="1:8" x14ac:dyDescent="0.25">
      <c r="A2" s="116" t="s">
        <v>6</v>
      </c>
      <c r="B2" s="117"/>
      <c r="C2" s="117"/>
      <c r="D2" s="117"/>
      <c r="E2" s="117"/>
      <c r="F2" s="117"/>
      <c r="G2" s="117"/>
      <c r="H2" s="118"/>
    </row>
    <row r="3" spans="1:8" ht="13.9" customHeight="1" x14ac:dyDescent="0.25">
      <c r="A3" s="7" t="s">
        <v>7</v>
      </c>
      <c r="B3" s="7"/>
      <c r="C3" s="75" t="s">
        <v>8</v>
      </c>
      <c r="D3" s="7"/>
      <c r="E3" s="8">
        <f>5*2.5</f>
        <v>12.5</v>
      </c>
      <c r="F3" s="8">
        <f>5*2.5</f>
        <v>12.5</v>
      </c>
      <c r="G3" s="8">
        <f>0.3*2.5</f>
        <v>0.75</v>
      </c>
      <c r="H3" s="119" t="s">
        <v>9</v>
      </c>
    </row>
    <row r="4" spans="1:8" ht="28.9" customHeight="1" x14ac:dyDescent="0.25">
      <c r="A4" s="9" t="s">
        <v>10</v>
      </c>
      <c r="B4" s="9"/>
      <c r="C4" s="75" t="s">
        <v>8</v>
      </c>
      <c r="D4" s="7"/>
      <c r="E4" s="72">
        <f>2.5*2.5</f>
        <v>6.25</v>
      </c>
      <c r="F4" s="72">
        <f>2.5*2.5</f>
        <v>6.25</v>
      </c>
      <c r="G4" s="72">
        <f>0.2*2.5</f>
        <v>0.5</v>
      </c>
      <c r="H4" s="120"/>
    </row>
    <row r="5" spans="1:8" ht="28.15" customHeight="1" x14ac:dyDescent="0.25">
      <c r="A5" s="9" t="s">
        <v>11</v>
      </c>
      <c r="B5" s="9"/>
      <c r="C5" s="75" t="s">
        <v>8</v>
      </c>
      <c r="D5" s="7"/>
      <c r="E5" s="72">
        <f>0.63*2.5</f>
        <v>1.575</v>
      </c>
      <c r="F5" s="72">
        <f>0.63*2.5</f>
        <v>1.575</v>
      </c>
      <c r="G5" s="72">
        <f>0.08*2.5</f>
        <v>0.2</v>
      </c>
      <c r="H5" s="120"/>
    </row>
    <row r="6" spans="1:8" x14ac:dyDescent="0.25">
      <c r="A6" s="9" t="s">
        <v>12</v>
      </c>
      <c r="B6" s="9"/>
      <c r="C6" s="75" t="s">
        <v>8</v>
      </c>
      <c r="D6" s="7"/>
      <c r="E6" s="72">
        <f>4*2.5</f>
        <v>10</v>
      </c>
      <c r="F6" s="72">
        <f>4*2.5</f>
        <v>10</v>
      </c>
      <c r="G6" s="72">
        <f>0.5*2.5</f>
        <v>1.25</v>
      </c>
      <c r="H6" s="120"/>
    </row>
    <row r="7" spans="1:8" x14ac:dyDescent="0.25">
      <c r="A7" s="9" t="s">
        <v>13</v>
      </c>
      <c r="B7" s="9"/>
      <c r="C7" s="75" t="s">
        <v>8</v>
      </c>
      <c r="D7" s="7"/>
      <c r="E7" s="72">
        <f>1.4*2.5</f>
        <v>3.5</v>
      </c>
      <c r="F7" s="72">
        <f>1.4*2.5</f>
        <v>3.5</v>
      </c>
      <c r="G7" s="72">
        <v>0.1</v>
      </c>
      <c r="H7" s="120"/>
    </row>
    <row r="8" spans="1:8" ht="44.45" customHeight="1" x14ac:dyDescent="0.2">
      <c r="A8" s="9" t="s">
        <v>14</v>
      </c>
      <c r="B8" s="106"/>
      <c r="C8" s="107" t="s">
        <v>15</v>
      </c>
      <c r="D8" s="106"/>
      <c r="E8" s="106"/>
      <c r="F8" s="166"/>
      <c r="G8" s="166"/>
      <c r="H8" s="120"/>
    </row>
    <row r="9" spans="1:8" x14ac:dyDescent="0.25">
      <c r="A9" s="9" t="s">
        <v>16</v>
      </c>
      <c r="B9" s="71"/>
      <c r="C9" s="73" t="s">
        <v>15</v>
      </c>
      <c r="D9" s="71"/>
      <c r="E9" s="72">
        <f>1.136*2.5</f>
        <v>2.84</v>
      </c>
      <c r="F9" s="72">
        <f>1.136*2.5</f>
        <v>2.84</v>
      </c>
      <c r="G9" s="10" t="s">
        <v>17</v>
      </c>
      <c r="H9" s="120"/>
    </row>
    <row r="10" spans="1:8" x14ac:dyDescent="0.25">
      <c r="A10" s="9" t="s">
        <v>18</v>
      </c>
      <c r="B10" s="71"/>
      <c r="C10" s="73" t="s">
        <v>15</v>
      </c>
      <c r="D10" s="71"/>
      <c r="E10" s="72">
        <f>7.021*2.5</f>
        <v>17.552499999999998</v>
      </c>
      <c r="F10" s="72">
        <f>7.021*2.5</f>
        <v>17.552499999999998</v>
      </c>
      <c r="G10" s="10" t="s">
        <v>17</v>
      </c>
      <c r="H10" s="120"/>
    </row>
    <row r="11" spans="1:8" x14ac:dyDescent="0.25">
      <c r="A11" s="9" t="s">
        <v>19</v>
      </c>
      <c r="B11" s="9"/>
      <c r="C11" s="75" t="s">
        <v>8</v>
      </c>
      <c r="D11" s="7"/>
      <c r="E11" s="72">
        <v>2712000000000</v>
      </c>
      <c r="F11" s="72">
        <v>2712000000000</v>
      </c>
      <c r="G11" s="72" t="s">
        <v>17</v>
      </c>
      <c r="H11" s="120"/>
    </row>
    <row r="12" spans="1:8" x14ac:dyDescent="0.25">
      <c r="A12" s="9" t="s">
        <v>20</v>
      </c>
      <c r="B12" s="9"/>
      <c r="C12" s="75" t="s">
        <v>8</v>
      </c>
      <c r="D12" s="7"/>
      <c r="E12" s="72">
        <v>105000000000000</v>
      </c>
      <c r="F12" s="72">
        <v>105000000000000</v>
      </c>
      <c r="G12" s="72" t="s">
        <v>17</v>
      </c>
      <c r="H12" s="120"/>
    </row>
    <row r="13" spans="1:8" x14ac:dyDescent="0.25">
      <c r="A13" s="9" t="s">
        <v>21</v>
      </c>
      <c r="B13" s="9"/>
      <c r="C13" s="76" t="s">
        <v>15</v>
      </c>
      <c r="D13" s="85"/>
      <c r="E13" s="72">
        <v>0.1157</v>
      </c>
      <c r="F13" s="72">
        <v>0.1157</v>
      </c>
      <c r="G13" s="72" t="s">
        <v>17</v>
      </c>
      <c r="H13" s="120"/>
    </row>
    <row r="14" spans="1:8" x14ac:dyDescent="0.25">
      <c r="A14" s="11" t="s">
        <v>22</v>
      </c>
      <c r="B14" s="11"/>
      <c r="C14" s="73" t="s">
        <v>15</v>
      </c>
      <c r="D14" s="65"/>
      <c r="E14" s="10">
        <v>6.0539999999999997E-2</v>
      </c>
      <c r="F14" s="10">
        <v>6.0539999999999997E-2</v>
      </c>
      <c r="G14" s="10" t="s">
        <v>17</v>
      </c>
      <c r="H14" s="121"/>
    </row>
    <row r="15" spans="1:8" x14ac:dyDescent="0.25">
      <c r="A15" s="116" t="s">
        <v>23</v>
      </c>
      <c r="B15" s="117"/>
      <c r="C15" s="117"/>
      <c r="D15" s="117"/>
      <c r="E15" s="117"/>
      <c r="F15" s="117"/>
      <c r="G15" s="117"/>
      <c r="H15" s="118"/>
    </row>
    <row r="16" spans="1:8" ht="27.6" customHeight="1" x14ac:dyDescent="0.25">
      <c r="A16" s="7" t="s">
        <v>24</v>
      </c>
      <c r="B16" s="12" t="s">
        <v>25</v>
      </c>
      <c r="C16" s="48" t="s">
        <v>15</v>
      </c>
      <c r="D16" s="89"/>
      <c r="E16" s="13">
        <v>4467</v>
      </c>
      <c r="F16" s="13">
        <v>4467</v>
      </c>
      <c r="G16" s="13">
        <v>43</v>
      </c>
      <c r="H16" s="79" t="s">
        <v>26</v>
      </c>
    </row>
    <row r="17" spans="1:8" x14ac:dyDescent="0.25">
      <c r="A17" s="9" t="s">
        <v>27</v>
      </c>
      <c r="B17" s="14" t="s">
        <v>28</v>
      </c>
      <c r="C17" s="77" t="s">
        <v>15</v>
      </c>
      <c r="D17" s="90"/>
      <c r="E17" s="72">
        <v>-5.5</v>
      </c>
      <c r="F17" s="72">
        <v>-5.5</v>
      </c>
      <c r="G17" s="72">
        <v>0.53</v>
      </c>
      <c r="H17" s="79"/>
    </row>
    <row r="18" spans="1:8" x14ac:dyDescent="0.25">
      <c r="A18" s="9" t="s">
        <v>29</v>
      </c>
      <c r="B18" s="14" t="s">
        <v>30</v>
      </c>
      <c r="C18" s="77" t="s">
        <v>15</v>
      </c>
      <c r="D18" s="90"/>
      <c r="E18" s="72">
        <v>95.9</v>
      </c>
      <c r="F18" s="72">
        <v>95.9</v>
      </c>
      <c r="G18" s="72">
        <v>2.6</v>
      </c>
      <c r="H18" s="79"/>
    </row>
    <row r="19" spans="1:8" x14ac:dyDescent="0.25">
      <c r="A19" s="9" t="s">
        <v>31</v>
      </c>
      <c r="B19" s="14" t="s">
        <v>32</v>
      </c>
      <c r="C19" s="77" t="s">
        <v>15</v>
      </c>
      <c r="D19" s="90"/>
      <c r="E19" s="15">
        <v>0</v>
      </c>
      <c r="F19" s="15">
        <v>0</v>
      </c>
      <c r="G19" s="72" t="s">
        <v>17</v>
      </c>
      <c r="H19" s="79"/>
    </row>
    <row r="20" spans="1:8" x14ac:dyDescent="0.25">
      <c r="A20" s="9" t="s">
        <v>33</v>
      </c>
      <c r="B20" s="14" t="s">
        <v>34</v>
      </c>
      <c r="C20" s="96" t="s">
        <v>15</v>
      </c>
      <c r="D20" s="88"/>
      <c r="E20" s="72">
        <v>51.1</v>
      </c>
      <c r="F20" s="72">
        <v>51.1</v>
      </c>
      <c r="G20" s="72">
        <v>9.4</v>
      </c>
      <c r="H20" s="79"/>
    </row>
    <row r="21" spans="1:8" x14ac:dyDescent="0.25">
      <c r="A21" s="9" t="s">
        <v>35</v>
      </c>
      <c r="B21" s="14"/>
      <c r="C21" s="96" t="s">
        <v>15</v>
      </c>
      <c r="D21" s="88"/>
      <c r="E21" s="72">
        <v>58</v>
      </c>
      <c r="F21" s="72">
        <v>58</v>
      </c>
      <c r="G21" s="72">
        <v>11</v>
      </c>
      <c r="H21" s="120" t="s">
        <v>36</v>
      </c>
    </row>
    <row r="22" spans="1:8" x14ac:dyDescent="0.25">
      <c r="A22" s="9" t="s">
        <v>37</v>
      </c>
      <c r="B22" s="16"/>
      <c r="C22" s="96" t="s">
        <v>15</v>
      </c>
      <c r="D22" s="88"/>
      <c r="E22" s="72">
        <v>82</v>
      </c>
      <c r="F22" s="72">
        <v>82</v>
      </c>
      <c r="G22" s="72">
        <v>21</v>
      </c>
      <c r="H22" s="123"/>
    </row>
    <row r="23" spans="1:8" x14ac:dyDescent="0.25">
      <c r="A23" s="9" t="s">
        <v>38</v>
      </c>
      <c r="B23" s="16"/>
      <c r="C23" s="96" t="s">
        <v>15</v>
      </c>
      <c r="D23" s="88"/>
      <c r="E23" s="72">
        <v>0.18</v>
      </c>
      <c r="F23" s="72">
        <v>0.18</v>
      </c>
      <c r="G23" s="72" t="s">
        <v>39</v>
      </c>
      <c r="H23" s="123"/>
    </row>
    <row r="24" spans="1:8" x14ac:dyDescent="0.25">
      <c r="A24" s="9" t="s">
        <v>40</v>
      </c>
      <c r="B24" s="16"/>
      <c r="C24" s="77" t="s">
        <v>15</v>
      </c>
      <c r="D24" s="90"/>
      <c r="E24" s="72">
        <v>42</v>
      </c>
      <c r="F24" s="72">
        <v>42</v>
      </c>
      <c r="G24" s="72">
        <v>12</v>
      </c>
      <c r="H24" s="123"/>
    </row>
    <row r="25" spans="1:8" x14ac:dyDescent="0.25">
      <c r="A25" s="9" t="s">
        <v>41</v>
      </c>
      <c r="B25" s="16"/>
      <c r="C25" s="77" t="s">
        <v>15</v>
      </c>
      <c r="D25" s="90"/>
      <c r="E25" s="72">
        <v>80</v>
      </c>
      <c r="F25" s="72">
        <v>80</v>
      </c>
      <c r="G25" s="72">
        <v>10</v>
      </c>
      <c r="H25" s="123"/>
    </row>
    <row r="26" spans="1:8" x14ac:dyDescent="0.25">
      <c r="A26" s="11" t="s">
        <v>42</v>
      </c>
      <c r="B26" s="108" t="s">
        <v>43</v>
      </c>
      <c r="C26" s="97" t="s">
        <v>15</v>
      </c>
      <c r="D26" s="165"/>
      <c r="E26" s="17">
        <v>17.350000000000001</v>
      </c>
      <c r="F26" s="17">
        <v>17.350000000000001</v>
      </c>
      <c r="G26" s="17">
        <v>0.68399999999999994</v>
      </c>
      <c r="H26" s="18"/>
    </row>
    <row r="27" spans="1:8" x14ac:dyDescent="0.25">
      <c r="A27" s="11" t="s">
        <v>44</v>
      </c>
      <c r="B27" s="109"/>
      <c r="C27" s="98" t="s">
        <v>15</v>
      </c>
      <c r="D27" s="91"/>
      <c r="E27" s="17">
        <v>15.49</v>
      </c>
      <c r="F27" s="17">
        <v>15.49</v>
      </c>
      <c r="G27" s="17">
        <v>0.68399999999999994</v>
      </c>
      <c r="H27" s="18"/>
    </row>
    <row r="28" spans="1:8" x14ac:dyDescent="0.25">
      <c r="A28" s="11" t="s">
        <v>45</v>
      </c>
      <c r="B28" s="109"/>
      <c r="C28" s="98" t="s">
        <v>15</v>
      </c>
      <c r="D28" s="91"/>
      <c r="E28" s="17">
        <v>15.49</v>
      </c>
      <c r="F28" s="17">
        <v>15.49</v>
      </c>
      <c r="G28" s="17">
        <v>0.68399999999999994</v>
      </c>
      <c r="H28" s="18"/>
    </row>
    <row r="29" spans="1:8" x14ac:dyDescent="0.25">
      <c r="A29" s="11" t="s">
        <v>46</v>
      </c>
      <c r="B29" s="110"/>
      <c r="C29" s="98" t="s">
        <v>15</v>
      </c>
      <c r="D29" s="91"/>
      <c r="E29" s="17">
        <v>16.494</v>
      </c>
      <c r="F29" s="17">
        <v>16.494</v>
      </c>
      <c r="G29" s="17">
        <v>0.20400000000000001</v>
      </c>
      <c r="H29" s="18"/>
    </row>
    <row r="30" spans="1:8" ht="15" customHeight="1" x14ac:dyDescent="0.25">
      <c r="A30" s="11" t="s">
        <v>47</v>
      </c>
      <c r="B30" s="108" t="s">
        <v>48</v>
      </c>
      <c r="C30" s="97" t="s">
        <v>15</v>
      </c>
      <c r="D30" s="165"/>
      <c r="E30" s="17">
        <v>17.350000000000001</v>
      </c>
      <c r="F30" s="17">
        <v>17.350000000000001</v>
      </c>
      <c r="G30" s="17">
        <v>0.68399999999999994</v>
      </c>
      <c r="H30" s="18"/>
    </row>
    <row r="31" spans="1:8" ht="15" customHeight="1" x14ac:dyDescent="0.25">
      <c r="A31" s="11" t="s">
        <v>49</v>
      </c>
      <c r="B31" s="109"/>
      <c r="C31" s="97" t="s">
        <v>15</v>
      </c>
      <c r="D31" s="165"/>
      <c r="E31" s="17">
        <v>15.49</v>
      </c>
      <c r="F31" s="17">
        <v>15.49</v>
      </c>
      <c r="G31" s="17">
        <v>0.68399999999999994</v>
      </c>
      <c r="H31" s="18"/>
    </row>
    <row r="32" spans="1:8" ht="15" customHeight="1" x14ac:dyDescent="0.25">
      <c r="A32" s="11" t="s">
        <v>50</v>
      </c>
      <c r="B32" s="109"/>
      <c r="C32" s="98" t="s">
        <v>15</v>
      </c>
      <c r="D32" s="91"/>
      <c r="E32" s="17">
        <v>15.49</v>
      </c>
      <c r="F32" s="17">
        <v>15.49</v>
      </c>
      <c r="G32" s="17">
        <v>0.68399999999999994</v>
      </c>
      <c r="H32" s="18"/>
    </row>
    <row r="33" spans="1:8" x14ac:dyDescent="0.25">
      <c r="A33" s="11" t="s">
        <v>51</v>
      </c>
      <c r="B33" s="109"/>
      <c r="C33" s="98" t="s">
        <v>15</v>
      </c>
      <c r="D33" s="91"/>
      <c r="E33" s="17">
        <v>38.22</v>
      </c>
      <c r="F33" s="17">
        <v>38.22</v>
      </c>
      <c r="G33" s="17">
        <v>1.3499999999999999</v>
      </c>
      <c r="H33" s="18"/>
    </row>
    <row r="34" spans="1:8" x14ac:dyDescent="0.25">
      <c r="A34" s="11" t="s">
        <v>52</v>
      </c>
      <c r="B34" s="110"/>
      <c r="C34" s="98" t="s">
        <v>15</v>
      </c>
      <c r="D34" s="94"/>
      <c r="E34" s="17">
        <v>38.22</v>
      </c>
      <c r="F34" s="17">
        <v>38.22</v>
      </c>
      <c r="G34" s="17">
        <v>1.3499999999999999</v>
      </c>
      <c r="H34" s="18"/>
    </row>
    <row r="35" spans="1:8" x14ac:dyDescent="0.25">
      <c r="A35" s="111" t="s">
        <v>53</v>
      </c>
      <c r="B35" s="65"/>
      <c r="C35" s="77" t="s">
        <v>15</v>
      </c>
      <c r="D35" s="95"/>
      <c r="E35" s="19">
        <v>-32.9</v>
      </c>
      <c r="F35" s="19">
        <v>-32.9</v>
      </c>
      <c r="G35" s="114" t="s">
        <v>54</v>
      </c>
    </row>
    <row r="36" spans="1:8" x14ac:dyDescent="0.25">
      <c r="A36" s="112"/>
      <c r="B36" s="65"/>
      <c r="C36" s="77" t="s">
        <v>15</v>
      </c>
      <c r="D36" s="95"/>
      <c r="E36" s="19">
        <v>-70.900000000000006</v>
      </c>
      <c r="F36" s="19">
        <v>-70.900000000000006</v>
      </c>
      <c r="G36" s="115"/>
    </row>
    <row r="37" spans="1:8" x14ac:dyDescent="0.25">
      <c r="A37" s="113"/>
      <c r="B37" s="65"/>
      <c r="C37" s="77" t="s">
        <v>15</v>
      </c>
      <c r="D37" s="95"/>
      <c r="E37" s="19">
        <v>-16.5</v>
      </c>
      <c r="F37" s="19">
        <v>-16.5</v>
      </c>
      <c r="G37" s="115"/>
    </row>
    <row r="38" spans="1:8" ht="28.5" x14ac:dyDescent="0.25">
      <c r="A38" s="11" t="s">
        <v>55</v>
      </c>
      <c r="B38" s="11"/>
      <c r="C38" s="77" t="s">
        <v>15</v>
      </c>
      <c r="D38" s="95"/>
      <c r="E38" s="20">
        <v>-2</v>
      </c>
      <c r="F38" s="20">
        <v>-2</v>
      </c>
      <c r="G38" s="21" t="s">
        <v>39</v>
      </c>
      <c r="H38" s="74" t="s">
        <v>56</v>
      </c>
    </row>
    <row r="39" spans="1:8" x14ac:dyDescent="0.25">
      <c r="A39" s="116" t="s">
        <v>57</v>
      </c>
      <c r="B39" s="117"/>
      <c r="C39" s="117"/>
      <c r="D39" s="117"/>
      <c r="E39" s="117"/>
      <c r="F39" s="117"/>
      <c r="G39" s="117"/>
      <c r="H39" s="118"/>
    </row>
    <row r="40" spans="1:8" ht="28.5" x14ac:dyDescent="0.25">
      <c r="A40" s="7" t="s">
        <v>58</v>
      </c>
      <c r="B40" s="12" t="s">
        <v>59</v>
      </c>
      <c r="C40" s="77" t="s">
        <v>15</v>
      </c>
      <c r="D40" s="90"/>
      <c r="E40" s="13">
        <v>5376</v>
      </c>
      <c r="F40" s="13">
        <v>5376</v>
      </c>
      <c r="G40" s="13">
        <v>41</v>
      </c>
      <c r="H40" s="124" t="s">
        <v>60</v>
      </c>
    </row>
    <row r="41" spans="1:8" x14ac:dyDescent="0.25">
      <c r="A41" s="9" t="s">
        <v>61</v>
      </c>
      <c r="C41" s="77" t="s">
        <v>15</v>
      </c>
      <c r="D41" s="90"/>
      <c r="E41" s="13">
        <v>909</v>
      </c>
      <c r="F41" s="13">
        <v>909</v>
      </c>
      <c r="G41" s="13">
        <v>28</v>
      </c>
      <c r="H41" s="125"/>
    </row>
    <row r="42" spans="1:8" x14ac:dyDescent="0.25">
      <c r="A42" s="9" t="s">
        <v>62</v>
      </c>
      <c r="B42" s="14" t="s">
        <v>63</v>
      </c>
      <c r="C42" s="77" t="s">
        <v>15</v>
      </c>
      <c r="D42" s="90"/>
      <c r="E42" s="72">
        <v>-9</v>
      </c>
      <c r="F42" s="72">
        <v>-9</v>
      </c>
      <c r="G42" s="72">
        <v>0.27</v>
      </c>
      <c r="H42" s="125"/>
    </row>
    <row r="43" spans="1:8" x14ac:dyDescent="0.25">
      <c r="A43" s="9" t="s">
        <v>64</v>
      </c>
      <c r="B43" s="14" t="s">
        <v>65</v>
      </c>
      <c r="C43" s="77" t="s">
        <v>15</v>
      </c>
      <c r="D43" s="90"/>
      <c r="E43" s="72">
        <v>76</v>
      </c>
      <c r="F43" s="72">
        <v>76</v>
      </c>
      <c r="G43" s="72">
        <v>1.9</v>
      </c>
      <c r="H43" s="74"/>
    </row>
    <row r="44" spans="1:8" ht="42.75" x14ac:dyDescent="0.25">
      <c r="A44" s="9" t="s">
        <v>66</v>
      </c>
      <c r="B44" s="14" t="s">
        <v>67</v>
      </c>
      <c r="C44" s="77" t="s">
        <v>15</v>
      </c>
      <c r="D44" s="90"/>
      <c r="E44" s="72">
        <v>0.03</v>
      </c>
      <c r="F44" s="72">
        <v>0.03</v>
      </c>
      <c r="G44" s="72" t="s">
        <v>39</v>
      </c>
      <c r="H44" s="74" t="s">
        <v>36</v>
      </c>
    </row>
    <row r="45" spans="1:8" x14ac:dyDescent="0.25">
      <c r="A45" s="9" t="s">
        <v>68</v>
      </c>
      <c r="B45" s="14" t="s">
        <v>34</v>
      </c>
      <c r="C45" s="77" t="s">
        <v>15</v>
      </c>
      <c r="D45" s="90"/>
      <c r="E45" s="72">
        <v>68</v>
      </c>
      <c r="F45" s="72">
        <v>68</v>
      </c>
      <c r="G45" s="72">
        <v>9.6</v>
      </c>
      <c r="H45" s="126" t="s">
        <v>69</v>
      </c>
    </row>
    <row r="46" spans="1:8" x14ac:dyDescent="0.25">
      <c r="A46" s="9" t="s">
        <v>70</v>
      </c>
      <c r="C46" s="77" t="s">
        <v>71</v>
      </c>
      <c r="D46" s="90"/>
      <c r="E46" s="13">
        <f>99.5*0.6</f>
        <v>59.699999999999996</v>
      </c>
      <c r="F46" s="13">
        <f>99.5*0.6</f>
        <v>59.699999999999996</v>
      </c>
      <c r="G46" s="13">
        <v>1.27</v>
      </c>
      <c r="H46" s="126"/>
    </row>
    <row r="47" spans="1:8" x14ac:dyDescent="0.25">
      <c r="A47" s="9" t="s">
        <v>72</v>
      </c>
      <c r="B47" s="16" t="s">
        <v>73</v>
      </c>
      <c r="C47" s="77" t="s">
        <v>71</v>
      </c>
      <c r="D47" s="77">
        <v>60</v>
      </c>
      <c r="E47" s="23">
        <v>50</v>
      </c>
      <c r="F47" s="23">
        <v>67.08</v>
      </c>
      <c r="G47" s="23">
        <v>0.62</v>
      </c>
    </row>
    <row r="48" spans="1:8" ht="31.5" customHeight="1" x14ac:dyDescent="0.25">
      <c r="A48" s="9" t="s">
        <v>74</v>
      </c>
      <c r="B48" s="16"/>
      <c r="C48" s="98" t="s">
        <v>15</v>
      </c>
      <c r="D48" s="91"/>
      <c r="E48" s="23" t="s">
        <v>75</v>
      </c>
      <c r="F48" s="23" t="s">
        <v>75</v>
      </c>
      <c r="G48" s="23"/>
    </row>
    <row r="49" spans="1:8" ht="28.5" x14ac:dyDescent="0.25">
      <c r="A49" s="9" t="s">
        <v>76</v>
      </c>
      <c r="B49" s="16"/>
      <c r="C49" s="77" t="s">
        <v>77</v>
      </c>
      <c r="D49" s="90"/>
      <c r="E49" s="64">
        <v>-4.5</v>
      </c>
      <c r="F49" s="64">
        <v>-4.5</v>
      </c>
      <c r="G49" s="72" t="s">
        <v>39</v>
      </c>
      <c r="H49" s="74" t="s">
        <v>56</v>
      </c>
    </row>
    <row r="50" spans="1:8" ht="28.5" x14ac:dyDescent="0.25">
      <c r="A50" s="9" t="s">
        <v>78</v>
      </c>
      <c r="B50" s="16"/>
      <c r="C50" s="77" t="s">
        <v>15</v>
      </c>
      <c r="D50" s="90"/>
      <c r="E50" s="24">
        <f>1.08*E47</f>
        <v>54</v>
      </c>
      <c r="F50" s="24">
        <f>1.08*F47</f>
        <v>72.446399999999997</v>
      </c>
      <c r="G50" s="25" t="s">
        <v>39</v>
      </c>
      <c r="H50" s="74" t="s">
        <v>56</v>
      </c>
    </row>
    <row r="51" spans="1:8" x14ac:dyDescent="0.25">
      <c r="A51" s="9" t="s">
        <v>79</v>
      </c>
      <c r="B51" s="16" t="s">
        <v>80</v>
      </c>
      <c r="C51" s="77" t="s">
        <v>15</v>
      </c>
      <c r="D51" s="90"/>
      <c r="E51" s="64">
        <v>6</v>
      </c>
      <c r="F51" s="64">
        <v>6</v>
      </c>
      <c r="G51" s="72" t="s">
        <v>39</v>
      </c>
      <c r="H51" s="26"/>
    </row>
    <row r="52" spans="1:8" x14ac:dyDescent="0.25">
      <c r="A52" s="9" t="s">
        <v>81</v>
      </c>
      <c r="B52" s="16"/>
      <c r="C52" s="77" t="s">
        <v>15</v>
      </c>
      <c r="D52" s="90"/>
      <c r="E52" s="64">
        <v>-0.08</v>
      </c>
      <c r="F52" s="64">
        <v>-0.08</v>
      </c>
      <c r="G52" s="72" t="s">
        <v>39</v>
      </c>
      <c r="H52" s="26"/>
    </row>
    <row r="53" spans="1:8" x14ac:dyDescent="0.25">
      <c r="A53" s="9" t="s">
        <v>82</v>
      </c>
      <c r="B53" s="16" t="s">
        <v>83</v>
      </c>
      <c r="C53" s="77" t="s">
        <v>15</v>
      </c>
      <c r="D53" s="90"/>
      <c r="E53" s="64">
        <v>-0.08</v>
      </c>
      <c r="F53" s="64">
        <v>-0.08</v>
      </c>
      <c r="G53" s="72" t="s">
        <v>39</v>
      </c>
      <c r="H53" s="26"/>
    </row>
    <row r="54" spans="1:8" x14ac:dyDescent="0.25">
      <c r="A54" s="27" t="s">
        <v>84</v>
      </c>
      <c r="B54" s="28"/>
      <c r="C54" s="77" t="s">
        <v>71</v>
      </c>
      <c r="D54" s="28"/>
      <c r="E54" s="72"/>
      <c r="F54" s="72">
        <v>41.8</v>
      </c>
      <c r="G54" s="72">
        <v>1.7</v>
      </c>
      <c r="H54" s="26"/>
    </row>
    <row r="55" spans="1:8" x14ac:dyDescent="0.25">
      <c r="A55" s="27" t="s">
        <v>85</v>
      </c>
      <c r="B55" s="28"/>
      <c r="C55" s="77" t="s">
        <v>71</v>
      </c>
      <c r="D55" s="28"/>
      <c r="E55" s="72">
        <v>33.4</v>
      </c>
      <c r="F55" s="72">
        <v>33.4</v>
      </c>
      <c r="G55" s="72">
        <v>2.5</v>
      </c>
      <c r="H55" s="26"/>
    </row>
    <row r="56" spans="1:8" x14ac:dyDescent="0.25">
      <c r="A56" s="9" t="s">
        <v>86</v>
      </c>
      <c r="B56" s="71"/>
      <c r="C56" s="73" t="s">
        <v>77</v>
      </c>
      <c r="D56" s="71"/>
      <c r="E56" s="72">
        <v>-2.2000000000000002</v>
      </c>
      <c r="F56" s="72">
        <v>-2.2000000000000002</v>
      </c>
      <c r="G56" s="72"/>
      <c r="H56" s="26"/>
    </row>
    <row r="57" spans="1:8" ht="28.5" x14ac:dyDescent="0.25">
      <c r="A57" s="30" t="s">
        <v>87</v>
      </c>
      <c r="B57" s="31"/>
      <c r="C57" s="105" t="s">
        <v>15</v>
      </c>
      <c r="D57" s="31"/>
      <c r="E57" s="10">
        <v>2.1800000000000002</v>
      </c>
      <c r="F57" s="10">
        <v>2.1800000000000002</v>
      </c>
      <c r="G57" s="10">
        <v>0.33</v>
      </c>
      <c r="H57" s="26"/>
    </row>
    <row r="58" spans="1:8" x14ac:dyDescent="0.25">
      <c r="A58" s="116" t="s">
        <v>88</v>
      </c>
      <c r="B58" s="117"/>
      <c r="C58" s="117"/>
      <c r="D58" s="117"/>
      <c r="E58" s="117"/>
      <c r="F58" s="117"/>
      <c r="G58" s="117"/>
      <c r="H58" s="118"/>
    </row>
    <row r="59" spans="1:8" ht="14.45" customHeight="1" x14ac:dyDescent="0.25">
      <c r="A59" s="66" t="s">
        <v>89</v>
      </c>
      <c r="B59" s="66"/>
      <c r="C59" s="75"/>
      <c r="D59" s="66"/>
      <c r="E59" s="66"/>
      <c r="F59" s="127"/>
      <c r="G59" s="127"/>
      <c r="H59" s="128" t="s">
        <v>90</v>
      </c>
    </row>
    <row r="60" spans="1:8" x14ac:dyDescent="0.25">
      <c r="A60" s="32" t="s">
        <v>91</v>
      </c>
      <c r="B60" s="6"/>
      <c r="C60" s="47" t="s">
        <v>92</v>
      </c>
      <c r="D60" s="6"/>
      <c r="E60" s="6"/>
      <c r="F60" s="131"/>
      <c r="G60" s="131"/>
      <c r="H60" s="128"/>
    </row>
    <row r="61" spans="1:8" ht="14.45" customHeight="1" x14ac:dyDescent="0.25">
      <c r="A61" s="71" t="s">
        <v>93</v>
      </c>
      <c r="B61" s="71"/>
      <c r="C61" s="47" t="s">
        <v>92</v>
      </c>
      <c r="D61" s="71"/>
      <c r="E61" s="33">
        <v>67042.669899999994</v>
      </c>
      <c r="F61" s="33">
        <v>67042.669899999994</v>
      </c>
      <c r="G61" s="72"/>
      <c r="H61" s="129"/>
    </row>
    <row r="62" spans="1:8" ht="14.45" customHeight="1" x14ac:dyDescent="0.25">
      <c r="A62" s="71" t="s">
        <v>94</v>
      </c>
      <c r="B62" s="71"/>
      <c r="C62" s="47" t="s">
        <v>92</v>
      </c>
      <c r="D62" s="71"/>
      <c r="E62" s="33">
        <v>99763.729000000007</v>
      </c>
      <c r="F62" s="33">
        <v>99763.729000000007</v>
      </c>
      <c r="G62" s="72"/>
      <c r="H62" s="129"/>
    </row>
    <row r="63" spans="1:8" ht="14.45" customHeight="1" x14ac:dyDescent="0.25">
      <c r="A63" s="71" t="s">
        <v>95</v>
      </c>
      <c r="B63" s="71"/>
      <c r="C63" s="47" t="s">
        <v>92</v>
      </c>
      <c r="D63" s="71"/>
      <c r="E63" s="33">
        <v>68574.796849999999</v>
      </c>
      <c r="F63" s="33">
        <v>68574.796849999999</v>
      </c>
      <c r="G63" s="72"/>
      <c r="H63" s="129"/>
    </row>
    <row r="64" spans="1:8" ht="14.45" customHeight="1" x14ac:dyDescent="0.25">
      <c r="A64" s="71" t="s">
        <v>96</v>
      </c>
      <c r="B64" s="71"/>
      <c r="C64" s="47" t="s">
        <v>92</v>
      </c>
      <c r="D64" s="71"/>
      <c r="E64" s="33">
        <v>109125.6635</v>
      </c>
      <c r="F64" s="33">
        <v>109125.6635</v>
      </c>
      <c r="G64" s="72"/>
      <c r="H64" s="129"/>
    </row>
    <row r="65" spans="1:8" ht="19.899999999999999" customHeight="1" x14ac:dyDescent="0.25">
      <c r="A65" s="71" t="s">
        <v>97</v>
      </c>
      <c r="B65" s="71"/>
      <c r="C65" s="73"/>
      <c r="D65" s="71"/>
      <c r="E65" s="71"/>
      <c r="F65" s="132"/>
      <c r="G65" s="132"/>
      <c r="H65" s="129"/>
    </row>
    <row r="66" spans="1:8" ht="19.899999999999999" customHeight="1" x14ac:dyDescent="0.25">
      <c r="A66" s="71" t="s">
        <v>98</v>
      </c>
      <c r="B66" s="16" t="s">
        <v>80</v>
      </c>
      <c r="C66" s="104" t="s">
        <v>15</v>
      </c>
      <c r="D66" s="16"/>
      <c r="E66" s="16"/>
      <c r="F66" s="133"/>
      <c r="G66" s="133"/>
      <c r="H66" s="129"/>
    </row>
    <row r="67" spans="1:8" ht="19.899999999999999" customHeight="1" x14ac:dyDescent="0.25">
      <c r="A67" s="71" t="s">
        <v>99</v>
      </c>
      <c r="B67" s="16"/>
      <c r="C67" s="104" t="s">
        <v>15</v>
      </c>
      <c r="D67" s="16"/>
      <c r="E67" s="16"/>
      <c r="F67" s="133"/>
      <c r="G67" s="133"/>
      <c r="H67" s="129"/>
    </row>
    <row r="68" spans="1:8" ht="19.899999999999999" customHeight="1" x14ac:dyDescent="0.25">
      <c r="A68" s="71" t="s">
        <v>100</v>
      </c>
      <c r="B68" s="16"/>
      <c r="C68" s="104" t="s">
        <v>15</v>
      </c>
      <c r="D68" s="16"/>
      <c r="E68" s="16"/>
      <c r="F68" s="133"/>
      <c r="G68" s="133"/>
      <c r="H68" s="129"/>
    </row>
    <row r="69" spans="1:8" ht="19.899999999999999" customHeight="1" x14ac:dyDescent="0.25">
      <c r="A69" s="134" t="s">
        <v>101</v>
      </c>
      <c r="B69" s="16" t="s">
        <v>102</v>
      </c>
      <c r="C69" s="104" t="s">
        <v>15</v>
      </c>
      <c r="D69" s="16"/>
      <c r="E69" s="33">
        <v>10.234335913000001</v>
      </c>
      <c r="F69" s="33">
        <v>10.234335913000001</v>
      </c>
      <c r="G69" s="72"/>
      <c r="H69" s="129"/>
    </row>
    <row r="70" spans="1:8" ht="19.899999999999999" customHeight="1" x14ac:dyDescent="0.25">
      <c r="A70" s="135"/>
      <c r="B70" s="16" t="s">
        <v>103</v>
      </c>
      <c r="C70" s="104" t="s">
        <v>15</v>
      </c>
      <c r="D70" s="16"/>
      <c r="E70" s="33">
        <v>13.604605000300001</v>
      </c>
      <c r="F70" s="33">
        <v>13.604605000300001</v>
      </c>
      <c r="G70" s="72"/>
      <c r="H70" s="129"/>
    </row>
    <row r="71" spans="1:8" ht="19.899999999999999" customHeight="1" x14ac:dyDescent="0.25">
      <c r="A71" s="134" t="s">
        <v>104</v>
      </c>
      <c r="B71" s="16" t="s">
        <v>105</v>
      </c>
      <c r="C71" s="104" t="s">
        <v>15</v>
      </c>
      <c r="D71" s="16"/>
      <c r="E71" s="33">
        <v>7.2700566595000016</v>
      </c>
      <c r="F71" s="33">
        <v>7.2700566595000016</v>
      </c>
      <c r="G71" s="72"/>
      <c r="H71" s="129"/>
    </row>
    <row r="72" spans="1:8" ht="19.899999999999999" customHeight="1" x14ac:dyDescent="0.25">
      <c r="A72" s="135"/>
      <c r="B72" s="16" t="s">
        <v>106</v>
      </c>
      <c r="C72" s="104" t="s">
        <v>15</v>
      </c>
      <c r="D72" s="16"/>
      <c r="E72" s="33">
        <v>11.446795924450001</v>
      </c>
      <c r="F72" s="33">
        <v>11.446795924450001</v>
      </c>
      <c r="G72" s="72"/>
      <c r="H72" s="129"/>
    </row>
    <row r="73" spans="1:8" s="26" customFormat="1" x14ac:dyDescent="0.25">
      <c r="A73" s="136" t="s">
        <v>107</v>
      </c>
      <c r="B73" s="16"/>
      <c r="C73" s="104" t="s">
        <v>15</v>
      </c>
      <c r="D73" s="16"/>
      <c r="E73" s="73" t="s">
        <v>108</v>
      </c>
      <c r="F73" s="73" t="s">
        <v>108</v>
      </c>
      <c r="G73" s="133" t="s">
        <v>109</v>
      </c>
      <c r="H73" s="129"/>
    </row>
    <row r="74" spans="1:8" s="26" customFormat="1" x14ac:dyDescent="0.25">
      <c r="A74" s="136"/>
      <c r="B74" s="16"/>
      <c r="C74" s="104" t="s">
        <v>15</v>
      </c>
      <c r="D74" s="16"/>
      <c r="E74" s="73" t="s">
        <v>110</v>
      </c>
      <c r="F74" s="73" t="s">
        <v>110</v>
      </c>
      <c r="G74" s="133"/>
      <c r="H74" s="129"/>
    </row>
    <row r="75" spans="1:8" s="26" customFormat="1" x14ac:dyDescent="0.25">
      <c r="A75" s="136"/>
      <c r="B75" s="16"/>
      <c r="C75" s="104" t="s">
        <v>15</v>
      </c>
      <c r="D75" s="16"/>
      <c r="E75" s="73" t="s">
        <v>111</v>
      </c>
      <c r="F75" s="73" t="s">
        <v>111</v>
      </c>
      <c r="G75" s="133"/>
      <c r="H75" s="129"/>
    </row>
    <row r="76" spans="1:8" s="26" customFormat="1" x14ac:dyDescent="0.25">
      <c r="A76" s="71" t="s">
        <v>112</v>
      </c>
      <c r="B76" s="16" t="s">
        <v>80</v>
      </c>
      <c r="C76" s="104" t="s">
        <v>15</v>
      </c>
      <c r="D76" s="16"/>
      <c r="E76" s="16"/>
      <c r="F76" s="133"/>
      <c r="G76" s="133"/>
      <c r="H76" s="129"/>
    </row>
    <row r="77" spans="1:8" s="26" customFormat="1" ht="28.5" x14ac:dyDescent="0.25">
      <c r="A77" s="71" t="s">
        <v>113</v>
      </c>
      <c r="B77" s="16" t="s">
        <v>114</v>
      </c>
      <c r="C77" s="104" t="s">
        <v>15</v>
      </c>
      <c r="D77" s="16"/>
      <c r="E77" s="73" t="s">
        <v>115</v>
      </c>
      <c r="F77" s="73" t="s">
        <v>115</v>
      </c>
      <c r="G77" s="73" t="s">
        <v>116</v>
      </c>
      <c r="H77" s="129"/>
    </row>
    <row r="78" spans="1:8" s="26" customFormat="1" x14ac:dyDescent="0.25">
      <c r="A78" s="136" t="s">
        <v>117</v>
      </c>
      <c r="B78" s="16"/>
      <c r="C78" s="104" t="s">
        <v>15</v>
      </c>
      <c r="D78" s="16"/>
      <c r="E78" s="73" t="s">
        <v>118</v>
      </c>
      <c r="F78" s="73" t="s">
        <v>118</v>
      </c>
      <c r="G78" s="133" t="s">
        <v>119</v>
      </c>
      <c r="H78" s="129"/>
    </row>
    <row r="79" spans="1:8" s="26" customFormat="1" x14ac:dyDescent="0.25">
      <c r="A79" s="136"/>
      <c r="B79" s="16"/>
      <c r="C79" s="104" t="s">
        <v>15</v>
      </c>
      <c r="D79" s="16"/>
      <c r="E79" s="73" t="s">
        <v>120</v>
      </c>
      <c r="F79" s="73" t="s">
        <v>120</v>
      </c>
      <c r="G79" s="133"/>
      <c r="H79" s="129"/>
    </row>
    <row r="80" spans="1:8" s="26" customFormat="1" x14ac:dyDescent="0.25">
      <c r="A80" s="136"/>
      <c r="B80" s="16"/>
      <c r="C80" s="104" t="s">
        <v>15</v>
      </c>
      <c r="D80" s="16"/>
      <c r="E80" s="73" t="s">
        <v>121</v>
      </c>
      <c r="F80" s="73" t="s">
        <v>121</v>
      </c>
      <c r="G80" s="133"/>
      <c r="H80" s="129"/>
    </row>
    <row r="81" spans="1:8" s="26" customFormat="1" ht="28.5" x14ac:dyDescent="0.25">
      <c r="A81" s="71" t="s">
        <v>122</v>
      </c>
      <c r="B81" s="16" t="s">
        <v>123</v>
      </c>
      <c r="C81" s="104" t="s">
        <v>15</v>
      </c>
      <c r="D81" s="16"/>
      <c r="E81" s="73" t="s">
        <v>124</v>
      </c>
      <c r="F81" s="73" t="s">
        <v>124</v>
      </c>
      <c r="G81" s="73" t="s">
        <v>125</v>
      </c>
      <c r="H81" s="129"/>
    </row>
    <row r="82" spans="1:8" s="26" customFormat="1" x14ac:dyDescent="0.25">
      <c r="A82" s="136" t="s">
        <v>126</v>
      </c>
      <c r="B82" s="16"/>
      <c r="C82" s="104" t="s">
        <v>15</v>
      </c>
      <c r="D82" s="16"/>
      <c r="E82" s="73" t="s">
        <v>127</v>
      </c>
      <c r="F82" s="73" t="s">
        <v>127</v>
      </c>
      <c r="G82" s="133" t="s">
        <v>128</v>
      </c>
      <c r="H82" s="129"/>
    </row>
    <row r="83" spans="1:8" s="26" customFormat="1" x14ac:dyDescent="0.25">
      <c r="A83" s="136"/>
      <c r="B83" s="16"/>
      <c r="C83" s="104" t="s">
        <v>15</v>
      </c>
      <c r="D83" s="16"/>
      <c r="E83" s="73" t="s">
        <v>129</v>
      </c>
      <c r="F83" s="73" t="s">
        <v>129</v>
      </c>
      <c r="G83" s="133"/>
      <c r="H83" s="129"/>
    </row>
    <row r="84" spans="1:8" s="26" customFormat="1" x14ac:dyDescent="0.25">
      <c r="A84" s="136"/>
      <c r="B84" s="16"/>
      <c r="C84" s="104" t="s">
        <v>15</v>
      </c>
      <c r="D84" s="16"/>
      <c r="E84" s="73" t="s">
        <v>130</v>
      </c>
      <c r="F84" s="73" t="s">
        <v>130</v>
      </c>
      <c r="G84" s="133"/>
      <c r="H84" s="129"/>
    </row>
    <row r="85" spans="1:8" s="26" customFormat="1" ht="28.5" x14ac:dyDescent="0.25">
      <c r="A85" s="71" t="s">
        <v>131</v>
      </c>
      <c r="B85" s="16" t="s">
        <v>132</v>
      </c>
      <c r="C85" s="104" t="s">
        <v>15</v>
      </c>
      <c r="D85" s="16"/>
      <c r="E85" s="73" t="s">
        <v>133</v>
      </c>
      <c r="F85" s="73" t="s">
        <v>133</v>
      </c>
      <c r="G85" s="73" t="s">
        <v>119</v>
      </c>
      <c r="H85" s="129"/>
    </row>
    <row r="86" spans="1:8" s="26" customFormat="1" x14ac:dyDescent="0.25">
      <c r="A86" s="136" t="s">
        <v>134</v>
      </c>
      <c r="B86" s="16"/>
      <c r="C86" s="104" t="s">
        <v>15</v>
      </c>
      <c r="D86" s="16"/>
      <c r="E86" s="73" t="s">
        <v>135</v>
      </c>
      <c r="F86" s="73" t="s">
        <v>135</v>
      </c>
      <c r="G86" s="133" t="s">
        <v>136</v>
      </c>
      <c r="H86" s="129"/>
    </row>
    <row r="87" spans="1:8" s="26" customFormat="1" x14ac:dyDescent="0.25">
      <c r="A87" s="136"/>
      <c r="B87" s="16"/>
      <c r="C87" s="104" t="s">
        <v>15</v>
      </c>
      <c r="D87" s="16"/>
      <c r="E87" s="73" t="s">
        <v>137</v>
      </c>
      <c r="F87" s="73" t="s">
        <v>137</v>
      </c>
      <c r="G87" s="133"/>
      <c r="H87" s="129"/>
    </row>
    <row r="88" spans="1:8" s="26" customFormat="1" x14ac:dyDescent="0.25">
      <c r="A88" s="136"/>
      <c r="B88" s="16"/>
      <c r="C88" s="104" t="s">
        <v>15</v>
      </c>
      <c r="D88" s="16"/>
      <c r="E88" s="73" t="s">
        <v>138</v>
      </c>
      <c r="F88" s="73" t="s">
        <v>138</v>
      </c>
      <c r="G88" s="133"/>
      <c r="H88" s="129"/>
    </row>
    <row r="89" spans="1:8" s="26" customFormat="1" ht="28.5" x14ac:dyDescent="0.25">
      <c r="A89" s="71" t="s">
        <v>139</v>
      </c>
      <c r="B89" s="16" t="s">
        <v>140</v>
      </c>
      <c r="C89" s="104" t="s">
        <v>15</v>
      </c>
      <c r="D89" s="16"/>
      <c r="E89" s="73" t="s">
        <v>141</v>
      </c>
      <c r="F89" s="73" t="s">
        <v>141</v>
      </c>
      <c r="G89" s="73" t="s">
        <v>119</v>
      </c>
      <c r="H89" s="129"/>
    </row>
    <row r="90" spans="1:8" s="26" customFormat="1" x14ac:dyDescent="0.25">
      <c r="A90" s="71" t="s">
        <v>142</v>
      </c>
      <c r="B90" s="16"/>
      <c r="C90" s="99"/>
      <c r="D90" s="16"/>
      <c r="E90" s="73">
        <v>4</v>
      </c>
      <c r="F90" s="73">
        <v>4</v>
      </c>
      <c r="G90" s="73">
        <v>1</v>
      </c>
      <c r="H90" s="129"/>
    </row>
    <row r="91" spans="1:8" s="26" customFormat="1" x14ac:dyDescent="0.25">
      <c r="A91" s="71" t="s">
        <v>143</v>
      </c>
      <c r="B91" s="16"/>
      <c r="C91" s="99"/>
      <c r="D91" s="16"/>
      <c r="E91" s="64">
        <v>6</v>
      </c>
      <c r="F91" s="64">
        <v>6</v>
      </c>
      <c r="G91" s="73">
        <v>1</v>
      </c>
      <c r="H91" s="129"/>
    </row>
    <row r="92" spans="1:8" s="26" customFormat="1" x14ac:dyDescent="0.25">
      <c r="A92" s="71" t="s">
        <v>144</v>
      </c>
      <c r="B92" s="16"/>
      <c r="C92" s="99"/>
      <c r="D92" s="16"/>
      <c r="E92" s="72">
        <v>8</v>
      </c>
      <c r="F92" s="72">
        <v>8</v>
      </c>
      <c r="G92" s="73">
        <v>1</v>
      </c>
      <c r="H92" s="129"/>
    </row>
    <row r="93" spans="1:8" s="26" customFormat="1" x14ac:dyDescent="0.25">
      <c r="A93" s="71" t="s">
        <v>145</v>
      </c>
      <c r="B93" s="16" t="s">
        <v>146</v>
      </c>
      <c r="C93" s="99"/>
      <c r="D93" s="16"/>
      <c r="E93" s="64" t="s">
        <v>115</v>
      </c>
      <c r="F93" s="64" t="s">
        <v>115</v>
      </c>
      <c r="G93" s="72" t="s">
        <v>116</v>
      </c>
      <c r="H93" s="129"/>
    </row>
    <row r="94" spans="1:8" s="26" customFormat="1" x14ac:dyDescent="0.25">
      <c r="A94" s="136" t="s">
        <v>147</v>
      </c>
      <c r="B94" s="16"/>
      <c r="C94" s="99"/>
      <c r="D94" s="16"/>
      <c r="E94" s="72" t="s">
        <v>148</v>
      </c>
      <c r="F94" s="72" t="s">
        <v>148</v>
      </c>
      <c r="G94" s="138" t="s">
        <v>119</v>
      </c>
      <c r="H94" s="129"/>
    </row>
    <row r="95" spans="1:8" s="26" customFormat="1" ht="15" customHeight="1" x14ac:dyDescent="0.25">
      <c r="A95" s="136"/>
      <c r="B95" s="16"/>
      <c r="C95" s="99"/>
      <c r="D95" s="16"/>
      <c r="E95" s="64" t="s">
        <v>149</v>
      </c>
      <c r="F95" s="64" t="s">
        <v>149</v>
      </c>
      <c r="G95" s="138"/>
      <c r="H95" s="129"/>
    </row>
    <row r="96" spans="1:8" s="26" customFormat="1" x14ac:dyDescent="0.25">
      <c r="A96" s="136"/>
      <c r="B96" s="16"/>
      <c r="C96" s="99"/>
      <c r="D96" s="16"/>
      <c r="E96" s="72" t="s">
        <v>150</v>
      </c>
      <c r="F96" s="72" t="s">
        <v>150</v>
      </c>
      <c r="G96" s="138"/>
      <c r="H96" s="129"/>
    </row>
    <row r="97" spans="1:8" s="26" customFormat="1" x14ac:dyDescent="0.25">
      <c r="A97" s="71" t="s">
        <v>151</v>
      </c>
      <c r="B97" s="16" t="s">
        <v>152</v>
      </c>
      <c r="C97" s="99"/>
      <c r="D97" s="16"/>
      <c r="E97" s="64" t="s">
        <v>115</v>
      </c>
      <c r="F97" s="64" t="s">
        <v>115</v>
      </c>
      <c r="G97" s="72" t="s">
        <v>116</v>
      </c>
      <c r="H97" s="129"/>
    </row>
    <row r="98" spans="1:8" s="26" customFormat="1" x14ac:dyDescent="0.25">
      <c r="A98" s="136" t="s">
        <v>153</v>
      </c>
      <c r="B98" s="16"/>
      <c r="C98" s="99"/>
      <c r="D98" s="16"/>
      <c r="E98" s="72" t="s">
        <v>154</v>
      </c>
      <c r="F98" s="72" t="s">
        <v>154</v>
      </c>
      <c r="G98" s="138" t="s">
        <v>128</v>
      </c>
      <c r="H98" s="129"/>
    </row>
    <row r="99" spans="1:8" s="26" customFormat="1" ht="15" customHeight="1" x14ac:dyDescent="0.25">
      <c r="A99" s="136"/>
      <c r="B99" s="16"/>
      <c r="C99" s="99"/>
      <c r="D99" s="16"/>
      <c r="E99" s="64" t="s">
        <v>155</v>
      </c>
      <c r="F99" s="64" t="s">
        <v>155</v>
      </c>
      <c r="G99" s="138"/>
      <c r="H99" s="129"/>
    </row>
    <row r="100" spans="1:8" s="26" customFormat="1" x14ac:dyDescent="0.25">
      <c r="A100" s="136"/>
      <c r="B100" s="16"/>
      <c r="C100" s="99"/>
      <c r="D100" s="16"/>
      <c r="E100" s="72" t="s">
        <v>156</v>
      </c>
      <c r="F100" s="72" t="s">
        <v>156</v>
      </c>
      <c r="G100" s="138"/>
      <c r="H100" s="129"/>
    </row>
    <row r="101" spans="1:8" s="26" customFormat="1" x14ac:dyDescent="0.25">
      <c r="A101" s="71" t="s">
        <v>157</v>
      </c>
      <c r="B101" s="16" t="s">
        <v>158</v>
      </c>
      <c r="C101" s="99"/>
      <c r="D101" s="16"/>
      <c r="E101" s="72" t="s">
        <v>133</v>
      </c>
      <c r="F101" s="72" t="s">
        <v>133</v>
      </c>
      <c r="G101" s="72" t="s">
        <v>119</v>
      </c>
      <c r="H101" s="129"/>
    </row>
    <row r="102" spans="1:8" s="26" customFormat="1" x14ac:dyDescent="0.25">
      <c r="A102" s="136" t="s">
        <v>159</v>
      </c>
      <c r="B102" s="16"/>
      <c r="C102" s="99"/>
      <c r="D102" s="16"/>
      <c r="E102" s="64" t="s">
        <v>160</v>
      </c>
      <c r="F102" s="64" t="s">
        <v>160</v>
      </c>
      <c r="G102" s="138" t="s">
        <v>136</v>
      </c>
      <c r="H102" s="129"/>
    </row>
    <row r="103" spans="1:8" s="26" customFormat="1" ht="15" customHeight="1" x14ac:dyDescent="0.25">
      <c r="A103" s="136"/>
      <c r="B103" s="16"/>
      <c r="C103" s="99"/>
      <c r="D103" s="16"/>
      <c r="E103" s="72" t="s">
        <v>161</v>
      </c>
      <c r="F103" s="72" t="s">
        <v>161</v>
      </c>
      <c r="G103" s="138"/>
      <c r="H103" s="129"/>
    </row>
    <row r="104" spans="1:8" s="26" customFormat="1" x14ac:dyDescent="0.25">
      <c r="A104" s="136"/>
      <c r="B104" s="16"/>
      <c r="C104" s="99"/>
      <c r="D104" s="16"/>
      <c r="E104" s="64" t="s">
        <v>162</v>
      </c>
      <c r="F104" s="64" t="s">
        <v>162</v>
      </c>
      <c r="G104" s="138"/>
      <c r="H104" s="129"/>
    </row>
    <row r="105" spans="1:8" s="26" customFormat="1" x14ac:dyDescent="0.25">
      <c r="A105" s="65" t="s">
        <v>163</v>
      </c>
      <c r="B105" s="16" t="s">
        <v>164</v>
      </c>
      <c r="C105" s="82"/>
      <c r="D105" s="67"/>
      <c r="E105" s="10" t="s">
        <v>165</v>
      </c>
      <c r="F105" s="10" t="s">
        <v>165</v>
      </c>
      <c r="G105" s="10" t="s">
        <v>119</v>
      </c>
      <c r="H105" s="130"/>
    </row>
    <row r="106" spans="1:8" x14ac:dyDescent="0.25">
      <c r="A106" s="116" t="s">
        <v>166</v>
      </c>
      <c r="B106" s="117"/>
      <c r="C106" s="117"/>
      <c r="D106" s="117"/>
      <c r="E106" s="117"/>
      <c r="F106" s="117"/>
      <c r="G106" s="117"/>
      <c r="H106" s="118"/>
    </row>
    <row r="107" spans="1:8" ht="42.75" x14ac:dyDescent="0.25">
      <c r="A107" s="34" t="s">
        <v>167</v>
      </c>
      <c r="B107" s="14" t="s">
        <v>168</v>
      </c>
      <c r="C107" s="100"/>
      <c r="D107" s="86"/>
      <c r="E107" s="35">
        <f>831.2-142</f>
        <v>689.2</v>
      </c>
      <c r="F107" s="35">
        <f>831.2-142</f>
        <v>689.2</v>
      </c>
      <c r="G107" s="35">
        <f>(689.2/831.2)*27.1</f>
        <v>22.470307988450436</v>
      </c>
    </row>
    <row r="108" spans="1:8" ht="42.75" x14ac:dyDescent="0.25">
      <c r="A108" s="34" t="s">
        <v>169</v>
      </c>
      <c r="B108" s="14"/>
      <c r="C108" s="100"/>
      <c r="D108" s="86"/>
      <c r="E108" s="35">
        <f>791.3-130</f>
        <v>661.3</v>
      </c>
      <c r="F108" s="35">
        <f>791.3-130</f>
        <v>661.3</v>
      </c>
      <c r="G108" s="35">
        <f>661/791*30.9</f>
        <v>25.821618204804043</v>
      </c>
    </row>
    <row r="109" spans="1:8" ht="42.75" x14ac:dyDescent="0.25">
      <c r="A109" s="28" t="s">
        <v>170</v>
      </c>
      <c r="B109" s="36"/>
      <c r="C109" s="101"/>
      <c r="D109" s="36"/>
      <c r="E109" s="72">
        <v>1343.43</v>
      </c>
      <c r="F109" s="72">
        <v>1343.43</v>
      </c>
      <c r="G109" s="72">
        <v>35.25</v>
      </c>
    </row>
    <row r="110" spans="1:8" ht="42.75" x14ac:dyDescent="0.2">
      <c r="A110" s="28" t="s">
        <v>171</v>
      </c>
      <c r="B110" s="14" t="s">
        <v>172</v>
      </c>
      <c r="C110" s="102"/>
      <c r="D110" s="14"/>
      <c r="E110" s="37">
        <v>1442.09</v>
      </c>
      <c r="F110" s="37">
        <v>1442.09</v>
      </c>
      <c r="G110" s="37">
        <v>37.18</v>
      </c>
    </row>
    <row r="111" spans="1:8" x14ac:dyDescent="0.25">
      <c r="A111" s="28" t="s">
        <v>173</v>
      </c>
      <c r="B111" s="36" t="s">
        <v>174</v>
      </c>
      <c r="C111" s="101"/>
      <c r="D111" s="36"/>
      <c r="E111" s="15">
        <v>0.63</v>
      </c>
      <c r="F111" s="15">
        <v>0.63</v>
      </c>
      <c r="G111" s="15" t="s">
        <v>39</v>
      </c>
    </row>
    <row r="112" spans="1:8" ht="42.75" x14ac:dyDescent="0.25">
      <c r="A112" s="28" t="s">
        <v>175</v>
      </c>
      <c r="B112" s="14" t="s">
        <v>176</v>
      </c>
      <c r="C112" s="102"/>
      <c r="D112" s="14"/>
      <c r="E112" s="38">
        <v>196.74610200000001</v>
      </c>
      <c r="F112" s="38">
        <v>196.74610200000001</v>
      </c>
      <c r="G112" s="38">
        <v>14.867080874999999</v>
      </c>
    </row>
    <row r="113" spans="1:8" ht="42.75" x14ac:dyDescent="0.25">
      <c r="A113" s="28" t="s">
        <v>177</v>
      </c>
      <c r="B113" s="36"/>
      <c r="C113" s="101"/>
      <c r="D113" s="36"/>
      <c r="E113" s="38">
        <v>384.00511920999998</v>
      </c>
      <c r="F113" s="38">
        <v>384.00511920999998</v>
      </c>
      <c r="G113" s="38">
        <v>28.389894797</v>
      </c>
    </row>
    <row r="114" spans="1:8" ht="42.75" x14ac:dyDescent="0.25">
      <c r="A114" s="28" t="s">
        <v>178</v>
      </c>
      <c r="B114" s="14" t="s">
        <v>179</v>
      </c>
      <c r="C114" s="102"/>
      <c r="D114" s="14"/>
      <c r="E114" s="25">
        <v>553.63363279999999</v>
      </c>
      <c r="F114" s="25">
        <v>553.63363279999999</v>
      </c>
      <c r="G114" s="25">
        <v>22.687528740000001</v>
      </c>
    </row>
    <row r="115" spans="1:8" ht="42.75" x14ac:dyDescent="0.25">
      <c r="A115" s="28" t="s">
        <v>180</v>
      </c>
      <c r="B115" s="36"/>
      <c r="C115" s="101"/>
      <c r="D115" s="36"/>
      <c r="E115" s="38">
        <v>219.4968825</v>
      </c>
      <c r="F115" s="38">
        <v>219.4968825</v>
      </c>
      <c r="G115" s="38">
        <v>21.879757558000001</v>
      </c>
    </row>
    <row r="116" spans="1:8" ht="42.75" x14ac:dyDescent="0.25">
      <c r="A116" s="28" t="s">
        <v>181</v>
      </c>
      <c r="B116" s="36"/>
      <c r="C116" s="101"/>
      <c r="D116" s="36"/>
      <c r="E116" s="38">
        <v>478.82852245999999</v>
      </c>
      <c r="F116" s="38">
        <v>478.82852245999999</v>
      </c>
      <c r="G116" s="38">
        <v>67.990051414000007</v>
      </c>
    </row>
    <row r="117" spans="1:8" ht="42.75" x14ac:dyDescent="0.25">
      <c r="A117" s="28" t="s">
        <v>182</v>
      </c>
      <c r="E117" s="25">
        <v>682.67427350000003</v>
      </c>
      <c r="F117" s="25">
        <v>682.67427350000003</v>
      </c>
      <c r="G117" s="25">
        <v>29.806198169000002</v>
      </c>
    </row>
    <row r="118" spans="1:8" ht="42.75" x14ac:dyDescent="0.25">
      <c r="A118" s="71" t="s">
        <v>183</v>
      </c>
      <c r="B118" s="16"/>
      <c r="C118" s="99"/>
      <c r="D118" s="16"/>
      <c r="E118" s="72">
        <v>70</v>
      </c>
      <c r="F118" s="72">
        <v>70</v>
      </c>
      <c r="G118" s="72" t="s">
        <v>39</v>
      </c>
    </row>
    <row r="119" spans="1:8" x14ac:dyDescent="0.25">
      <c r="A119" s="71" t="s">
        <v>184</v>
      </c>
      <c r="B119" s="16"/>
      <c r="C119" s="99"/>
      <c r="D119" s="16"/>
      <c r="E119" s="39">
        <v>-248.58081899999999</v>
      </c>
      <c r="F119" s="39">
        <v>-248.58081899999999</v>
      </c>
      <c r="G119" s="38">
        <v>17.341517389</v>
      </c>
    </row>
    <row r="120" spans="1:8" ht="28.5" x14ac:dyDescent="0.25">
      <c r="A120" s="71" t="s">
        <v>185</v>
      </c>
      <c r="B120" s="16"/>
      <c r="C120" s="99"/>
      <c r="D120" s="16"/>
      <c r="E120" s="39">
        <v>-138.68612999999999</v>
      </c>
      <c r="F120" s="39">
        <v>-138.68612999999999</v>
      </c>
      <c r="G120" s="38">
        <v>16.317845522999999</v>
      </c>
    </row>
    <row r="121" spans="1:8" x14ac:dyDescent="0.25">
      <c r="A121" s="71" t="s">
        <v>186</v>
      </c>
      <c r="B121" s="16"/>
      <c r="C121" s="99"/>
      <c r="D121" s="16"/>
      <c r="E121" s="39">
        <v>889.34240850000003</v>
      </c>
      <c r="F121" s="39">
        <v>889.34240850000003</v>
      </c>
      <c r="G121" s="38">
        <v>31.843806775000001</v>
      </c>
    </row>
    <row r="122" spans="1:8" x14ac:dyDescent="0.25">
      <c r="A122" s="71" t="s">
        <v>187</v>
      </c>
      <c r="B122" s="16"/>
      <c r="C122" s="99"/>
      <c r="D122" s="16"/>
      <c r="E122" s="39">
        <v>4235.6185477999998</v>
      </c>
      <c r="F122" s="39">
        <v>4235.6185477999998</v>
      </c>
      <c r="G122" s="38">
        <v>63.173604574999999</v>
      </c>
    </row>
    <row r="123" spans="1:8" x14ac:dyDescent="0.25">
      <c r="A123" s="71" t="s">
        <v>188</v>
      </c>
      <c r="B123" s="16"/>
      <c r="C123" s="99"/>
      <c r="D123" s="16"/>
      <c r="E123" s="39">
        <v>-163.1373773</v>
      </c>
      <c r="F123" s="39">
        <v>-163.1373773</v>
      </c>
      <c r="G123" s="38">
        <v>28.703881439</v>
      </c>
    </row>
    <row r="124" spans="1:8" x14ac:dyDescent="0.25">
      <c r="A124" s="71" t="s">
        <v>189</v>
      </c>
      <c r="B124" s="16"/>
      <c r="C124" s="99"/>
      <c r="D124" s="16"/>
      <c r="E124" s="39">
        <v>-167.56542229999999</v>
      </c>
      <c r="F124" s="39">
        <v>-167.56542229999999</v>
      </c>
      <c r="G124" s="38">
        <v>16.744857088</v>
      </c>
    </row>
    <row r="125" spans="1:8" ht="28.5" x14ac:dyDescent="0.25">
      <c r="A125" s="71" t="s">
        <v>190</v>
      </c>
      <c r="B125" s="16"/>
      <c r="C125" s="99"/>
      <c r="D125" s="16"/>
      <c r="E125" s="39">
        <v>-124.91186620000001</v>
      </c>
      <c r="F125" s="39">
        <v>-124.91186620000001</v>
      </c>
      <c r="G125" s="38">
        <v>13.061922490000001</v>
      </c>
    </row>
    <row r="126" spans="1:8" x14ac:dyDescent="0.25">
      <c r="A126" s="71" t="s">
        <v>191</v>
      </c>
      <c r="B126" s="16"/>
      <c r="C126" s="99"/>
      <c r="D126" s="16"/>
      <c r="E126" s="40">
        <v>101.53284407</v>
      </c>
      <c r="F126" s="40">
        <v>101.53284407</v>
      </c>
      <c r="G126" s="25">
        <v>6.5989592819</v>
      </c>
    </row>
    <row r="127" spans="1:8" ht="28.5" x14ac:dyDescent="0.25">
      <c r="A127" s="65" t="s">
        <v>192</v>
      </c>
      <c r="B127" s="67"/>
      <c r="C127" s="82"/>
      <c r="D127" s="67"/>
      <c r="E127" s="41">
        <v>-127.77385049999999</v>
      </c>
      <c r="F127" s="41">
        <v>-127.77385049999999</v>
      </c>
      <c r="G127" s="41">
        <v>39.695291662000002</v>
      </c>
    </row>
    <row r="128" spans="1:8" x14ac:dyDescent="0.25">
      <c r="A128" s="116" t="s">
        <v>193</v>
      </c>
      <c r="B128" s="117"/>
      <c r="C128" s="117"/>
      <c r="D128" s="117"/>
      <c r="E128" s="117"/>
      <c r="F128" s="117"/>
      <c r="G128" s="117"/>
      <c r="H128" s="118"/>
    </row>
    <row r="129" spans="1:8" ht="42.75" x14ac:dyDescent="0.25">
      <c r="A129" s="66" t="s">
        <v>194</v>
      </c>
      <c r="B129" s="68" t="s">
        <v>195</v>
      </c>
      <c r="C129" s="84"/>
      <c r="D129" s="68"/>
      <c r="E129" s="68"/>
      <c r="F129" s="139"/>
      <c r="G129" s="139"/>
      <c r="H129" s="63" t="s">
        <v>196</v>
      </c>
    </row>
    <row r="130" spans="1:8" ht="30" x14ac:dyDescent="0.25">
      <c r="A130" s="32" t="s">
        <v>197</v>
      </c>
      <c r="B130" s="16" t="s">
        <v>198</v>
      </c>
      <c r="C130" s="99"/>
      <c r="D130" s="16"/>
      <c r="E130" s="16"/>
      <c r="F130" s="137"/>
      <c r="G130" s="137"/>
      <c r="H130" s="42" t="s">
        <v>199</v>
      </c>
    </row>
    <row r="131" spans="1:8" ht="36" customHeight="1" x14ac:dyDescent="0.25">
      <c r="A131" s="111" t="s">
        <v>200</v>
      </c>
      <c r="B131" s="71"/>
      <c r="C131" s="73"/>
      <c r="D131" s="71"/>
      <c r="E131" s="64" t="s">
        <v>201</v>
      </c>
      <c r="F131" s="64" t="s">
        <v>201</v>
      </c>
      <c r="G131" s="64" t="s">
        <v>201</v>
      </c>
      <c r="H131" s="140" t="s">
        <v>202</v>
      </c>
    </row>
    <row r="132" spans="1:8" ht="55.5" customHeight="1" x14ac:dyDescent="0.25">
      <c r="A132" s="113"/>
      <c r="B132" s="68" t="s">
        <v>203</v>
      </c>
      <c r="C132" s="84"/>
      <c r="D132" s="68"/>
      <c r="E132" s="43">
        <v>11.11135</v>
      </c>
      <c r="F132" s="43">
        <v>11.11135</v>
      </c>
      <c r="G132" s="43">
        <v>0.32349500000000003</v>
      </c>
      <c r="H132" s="141"/>
    </row>
    <row r="133" spans="1:8" ht="30" x14ac:dyDescent="0.25">
      <c r="A133" s="71" t="s">
        <v>204</v>
      </c>
      <c r="B133" s="16" t="s">
        <v>205</v>
      </c>
      <c r="C133" s="99"/>
      <c r="D133" s="16"/>
      <c r="E133" s="16"/>
      <c r="F133" s="137"/>
      <c r="G133" s="137"/>
      <c r="H133" s="42" t="s">
        <v>206</v>
      </c>
    </row>
    <row r="134" spans="1:8" ht="29.45" customHeight="1" x14ac:dyDescent="0.25">
      <c r="A134" s="146" t="s">
        <v>207</v>
      </c>
      <c r="B134" s="71"/>
      <c r="C134" s="73"/>
      <c r="D134" s="71"/>
      <c r="E134" s="64" t="s">
        <v>208</v>
      </c>
      <c r="F134" s="64" t="s">
        <v>208</v>
      </c>
      <c r="G134" s="64" t="s">
        <v>208</v>
      </c>
      <c r="H134" s="140" t="s">
        <v>202</v>
      </c>
    </row>
    <row r="135" spans="1:8" ht="52.15" customHeight="1" x14ac:dyDescent="0.25">
      <c r="A135" s="147"/>
      <c r="B135" s="68" t="s">
        <v>209</v>
      </c>
      <c r="C135" s="84"/>
      <c r="D135" s="68"/>
      <c r="E135" s="43">
        <v>10.1007</v>
      </c>
      <c r="F135" s="43">
        <v>10.1007</v>
      </c>
      <c r="G135" s="43">
        <v>0.44891999999999999</v>
      </c>
      <c r="H135" s="141"/>
    </row>
    <row r="136" spans="1:8" ht="30" x14ac:dyDescent="0.25">
      <c r="A136" s="71" t="s">
        <v>210</v>
      </c>
      <c r="B136" s="16" t="s">
        <v>211</v>
      </c>
      <c r="C136" s="99"/>
      <c r="D136" s="16"/>
      <c r="E136" s="16"/>
      <c r="F136" s="137"/>
      <c r="G136" s="137"/>
      <c r="H136" s="42" t="s">
        <v>206</v>
      </c>
    </row>
    <row r="137" spans="1:8" ht="28.5" customHeight="1" x14ac:dyDescent="0.25">
      <c r="A137" s="111" t="s">
        <v>212</v>
      </c>
      <c r="B137" s="108" t="s">
        <v>213</v>
      </c>
      <c r="C137" s="82"/>
      <c r="D137" s="67"/>
      <c r="E137" s="64" t="s">
        <v>201</v>
      </c>
      <c r="F137" s="64" t="s">
        <v>201</v>
      </c>
      <c r="G137" s="64" t="s">
        <v>201</v>
      </c>
      <c r="H137" s="140" t="s">
        <v>214</v>
      </c>
    </row>
    <row r="138" spans="1:8" ht="28.5" customHeight="1" x14ac:dyDescent="0.25">
      <c r="A138" s="113"/>
      <c r="B138" s="110"/>
      <c r="C138" s="84"/>
      <c r="D138" s="68"/>
      <c r="E138" s="43">
        <v>7.9251909154751132</v>
      </c>
      <c r="F138" s="43">
        <v>7.9251909154751132</v>
      </c>
      <c r="G138" s="43">
        <v>0.13205429864253396</v>
      </c>
      <c r="H138" s="148"/>
    </row>
    <row r="139" spans="1:8" ht="28.5" customHeight="1" x14ac:dyDescent="0.25">
      <c r="A139" s="111" t="s">
        <v>215</v>
      </c>
      <c r="B139" s="149" t="s">
        <v>216</v>
      </c>
      <c r="C139" s="82"/>
      <c r="D139" s="69"/>
      <c r="E139" s="64" t="s">
        <v>208</v>
      </c>
      <c r="F139" s="64" t="s">
        <v>208</v>
      </c>
      <c r="G139" s="64" t="s">
        <v>208</v>
      </c>
      <c r="H139" s="148"/>
    </row>
    <row r="140" spans="1:8" ht="28.5" customHeight="1" x14ac:dyDescent="0.25">
      <c r="A140" s="113"/>
      <c r="B140" s="150"/>
      <c r="C140" s="83"/>
      <c r="D140" s="87"/>
      <c r="E140" s="45">
        <v>7.5124781408144798</v>
      </c>
      <c r="F140" s="45">
        <v>7.5124781408144798</v>
      </c>
      <c r="G140" s="45">
        <v>9.730316742081449E-2</v>
      </c>
      <c r="H140" s="141"/>
    </row>
    <row r="141" spans="1:8" ht="28.5" customHeight="1" x14ac:dyDescent="0.25">
      <c r="A141" s="65" t="s">
        <v>217</v>
      </c>
      <c r="B141" s="68" t="s">
        <v>218</v>
      </c>
      <c r="C141" s="83"/>
      <c r="D141" s="78"/>
      <c r="E141" s="45">
        <f>2.81*768*768/(1024*1024)</f>
        <v>1.5806249999999999</v>
      </c>
      <c r="F141" s="45">
        <f>2.81*768*768/(1024*1024)</f>
        <v>1.5806249999999999</v>
      </c>
      <c r="G141" s="45">
        <f>0.05*768*768/(1024*1024)</f>
        <v>2.8125000000000004E-2</v>
      </c>
      <c r="H141" s="62" t="s">
        <v>219</v>
      </c>
    </row>
    <row r="142" spans="1:8" x14ac:dyDescent="0.25">
      <c r="A142" s="142" t="s">
        <v>220</v>
      </c>
      <c r="B142" s="143"/>
      <c r="C142" s="143"/>
      <c r="D142" s="143"/>
      <c r="E142" s="143"/>
      <c r="F142" s="144"/>
      <c r="G142" s="144"/>
      <c r="H142" s="145"/>
    </row>
    <row r="143" spans="1:8" ht="53.25" customHeight="1" x14ac:dyDescent="0.25">
      <c r="A143" s="66" t="s">
        <v>221</v>
      </c>
      <c r="B143" s="66"/>
      <c r="C143" s="75"/>
      <c r="D143" s="66"/>
      <c r="E143" s="75" t="s">
        <v>222</v>
      </c>
      <c r="F143" s="75" t="s">
        <v>222</v>
      </c>
      <c r="G143" s="8" t="s">
        <v>39</v>
      </c>
      <c r="H143" s="81"/>
    </row>
    <row r="144" spans="1:8" ht="28.5" x14ac:dyDescent="0.25">
      <c r="A144" s="71" t="s">
        <v>223</v>
      </c>
      <c r="B144" s="71"/>
      <c r="C144" s="73"/>
      <c r="D144" s="71"/>
      <c r="E144" s="46">
        <f>(E40+3.54*E43+E45+E110)/1000</f>
        <v>7.1551299999999998</v>
      </c>
      <c r="F144" s="46">
        <f>(F40+3.54*F43+F45+F110)/1000</f>
        <v>7.1551299999999998</v>
      </c>
      <c r="G144" s="46">
        <v>7.0000000000000007E-2</v>
      </c>
      <c r="H144" s="42"/>
    </row>
  </sheetData>
  <mergeCells count="53">
    <mergeCell ref="A142:H142"/>
    <mergeCell ref="A134:A135"/>
    <mergeCell ref="H134:H135"/>
    <mergeCell ref="F136:G136"/>
    <mergeCell ref="A137:A138"/>
    <mergeCell ref="B137:B138"/>
    <mergeCell ref="H137:H140"/>
    <mergeCell ref="A139:A140"/>
    <mergeCell ref="B139:B140"/>
    <mergeCell ref="F133:G133"/>
    <mergeCell ref="A102:A104"/>
    <mergeCell ref="G102:G104"/>
    <mergeCell ref="A106:H106"/>
    <mergeCell ref="A94:A96"/>
    <mergeCell ref="G94:G96"/>
    <mergeCell ref="A98:A100"/>
    <mergeCell ref="G98:G100"/>
    <mergeCell ref="A128:H128"/>
    <mergeCell ref="F129:G129"/>
    <mergeCell ref="F130:G130"/>
    <mergeCell ref="A131:A132"/>
    <mergeCell ref="H131:H132"/>
    <mergeCell ref="G82:G84"/>
    <mergeCell ref="A86:A88"/>
    <mergeCell ref="G86:G88"/>
    <mergeCell ref="F76:G76"/>
    <mergeCell ref="A78:A80"/>
    <mergeCell ref="G78:G80"/>
    <mergeCell ref="A39:H39"/>
    <mergeCell ref="H40:H42"/>
    <mergeCell ref="H45:H46"/>
    <mergeCell ref="A58:H58"/>
    <mergeCell ref="F59:G59"/>
    <mergeCell ref="H59:H105"/>
    <mergeCell ref="F60:G60"/>
    <mergeCell ref="F65:G65"/>
    <mergeCell ref="F66:G66"/>
    <mergeCell ref="F67:G67"/>
    <mergeCell ref="F68:G68"/>
    <mergeCell ref="A69:A70"/>
    <mergeCell ref="A71:A72"/>
    <mergeCell ref="A73:A75"/>
    <mergeCell ref="G73:G75"/>
    <mergeCell ref="A82:A84"/>
    <mergeCell ref="B30:B34"/>
    <mergeCell ref="A35:A37"/>
    <mergeCell ref="G35:G37"/>
    <mergeCell ref="A2:H2"/>
    <mergeCell ref="H3:H14"/>
    <mergeCell ref="F8:G8"/>
    <mergeCell ref="A15:H15"/>
    <mergeCell ref="H21:H25"/>
    <mergeCell ref="B26:B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61E99-2A21-4D9B-870C-17859FA1FFDE}">
  <dimension ref="A1:B3"/>
  <sheetViews>
    <sheetView workbookViewId="0">
      <selection activeCell="C13" sqref="C13"/>
    </sheetView>
  </sheetViews>
  <sheetFormatPr defaultRowHeight="15" x14ac:dyDescent="0.25"/>
  <cols>
    <col min="2" max="2" width="30.85546875" bestFit="1" customWidth="1"/>
  </cols>
  <sheetData>
    <row r="1" spans="1:2" x14ac:dyDescent="0.25">
      <c r="A1" t="s">
        <v>224</v>
      </c>
      <c r="B1" t="s">
        <v>225</v>
      </c>
    </row>
    <row r="2" spans="1:2" x14ac:dyDescent="0.25">
      <c r="A2" s="93" t="s">
        <v>226</v>
      </c>
      <c r="B2" t="s">
        <v>227</v>
      </c>
    </row>
    <row r="3" spans="1:2" x14ac:dyDescent="0.25">
      <c r="A3" s="92" t="s">
        <v>228</v>
      </c>
      <c r="B3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4"/>
  <sheetViews>
    <sheetView topLeftCell="A48" workbookViewId="0">
      <selection activeCell="A7" sqref="A7"/>
    </sheetView>
  </sheetViews>
  <sheetFormatPr defaultColWidth="8.85546875" defaultRowHeight="14.25" x14ac:dyDescent="0.25"/>
  <cols>
    <col min="1" max="1" width="78.7109375" style="22" customWidth="1"/>
    <col min="2" max="2" width="46" style="22" customWidth="1"/>
    <col min="3" max="3" width="26.28515625" style="47" bestFit="1" customWidth="1"/>
    <col min="4" max="4" width="20.5703125" style="47" bestFit="1" customWidth="1"/>
    <col min="5" max="5" width="19.140625" style="47" bestFit="1" customWidth="1"/>
    <col min="6" max="6" width="20.28515625" style="47" customWidth="1"/>
    <col min="7" max="7" width="19.140625" style="47" bestFit="1" customWidth="1"/>
    <col min="8" max="8" width="20" style="47" customWidth="1"/>
    <col min="9" max="9" width="19.140625" style="47" bestFit="1" customWidth="1"/>
    <col min="10" max="10" width="20" style="47" customWidth="1"/>
    <col min="11" max="11" width="79.85546875" style="6" customWidth="1"/>
    <col min="12" max="16384" width="8.85546875" style="6"/>
  </cols>
  <sheetData>
    <row r="1" spans="1:11" ht="29.25" thickBot="1" x14ac:dyDescent="0.3">
      <c r="A1" s="1" t="s">
        <v>0</v>
      </c>
      <c r="B1" s="2" t="s">
        <v>1</v>
      </c>
      <c r="C1" s="3" t="s">
        <v>230</v>
      </c>
      <c r="D1" s="4" t="s">
        <v>231</v>
      </c>
      <c r="E1" s="3" t="s">
        <v>232</v>
      </c>
      <c r="F1" s="4" t="s">
        <v>233</v>
      </c>
      <c r="G1" s="3" t="s">
        <v>234</v>
      </c>
      <c r="H1" s="4" t="s">
        <v>235</v>
      </c>
      <c r="I1" s="3" t="s">
        <v>236</v>
      </c>
      <c r="J1" s="4" t="s">
        <v>237</v>
      </c>
      <c r="K1" s="5" t="s">
        <v>5</v>
      </c>
    </row>
    <row r="2" spans="1:11" ht="15" thickBot="1" x14ac:dyDescent="0.3">
      <c r="A2" s="116" t="s">
        <v>6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</row>
    <row r="3" spans="1:11" ht="13.9" customHeight="1" x14ac:dyDescent="0.25">
      <c r="A3" s="7" t="s">
        <v>7</v>
      </c>
      <c r="B3" s="7"/>
      <c r="C3" s="8">
        <f>5*2.5</f>
        <v>12.5</v>
      </c>
      <c r="D3" s="8">
        <f>0.3*2.5</f>
        <v>0.75</v>
      </c>
      <c r="E3" s="8">
        <f>5*2.5</f>
        <v>12.5</v>
      </c>
      <c r="F3" s="8">
        <f>0.3*2.5</f>
        <v>0.75</v>
      </c>
      <c r="G3" s="8">
        <f>5.3*2.5</f>
        <v>13.25</v>
      </c>
      <c r="H3" s="8">
        <f>0.3*2.5</f>
        <v>0.75</v>
      </c>
      <c r="I3" s="8">
        <f>5*2.5</f>
        <v>12.5</v>
      </c>
      <c r="J3" s="8">
        <f>0.3*2.5</f>
        <v>0.75</v>
      </c>
      <c r="K3" s="119" t="s">
        <v>9</v>
      </c>
    </row>
    <row r="4" spans="1:11" ht="28.9" customHeight="1" x14ac:dyDescent="0.25">
      <c r="A4" s="9" t="s">
        <v>10</v>
      </c>
      <c r="B4" s="9"/>
      <c r="C4" s="72">
        <f>2.5*2.5</f>
        <v>6.25</v>
      </c>
      <c r="D4" s="72">
        <f>0.2*2.5</f>
        <v>0.5</v>
      </c>
      <c r="E4" s="72">
        <f>2.5*2.5</f>
        <v>6.25</v>
      </c>
      <c r="F4" s="72">
        <f>0.2*2.5</f>
        <v>0.5</v>
      </c>
      <c r="G4" s="72">
        <f>2.6*2.5</f>
        <v>6.5</v>
      </c>
      <c r="H4" s="72">
        <f>0.2*2.5</f>
        <v>0.5</v>
      </c>
      <c r="I4" s="72">
        <f>2.5*2.5</f>
        <v>6.25</v>
      </c>
      <c r="J4" s="72">
        <f>0.2*2.5</f>
        <v>0.5</v>
      </c>
      <c r="K4" s="120"/>
    </row>
    <row r="5" spans="1:11" ht="28.15" customHeight="1" x14ac:dyDescent="0.25">
      <c r="A5" s="9" t="s">
        <v>11</v>
      </c>
      <c r="B5" s="9"/>
      <c r="C5" s="72">
        <f>0.63*2.5</f>
        <v>1.575</v>
      </c>
      <c r="D5" s="72">
        <f>0.08*2.5</f>
        <v>0.2</v>
      </c>
      <c r="E5" s="72">
        <f>0.63*2.5</f>
        <v>1.575</v>
      </c>
      <c r="F5" s="72">
        <f>0.08*2.5</f>
        <v>0.2</v>
      </c>
      <c r="G5" s="72">
        <f>0.73*2.5</f>
        <v>1.825</v>
      </c>
      <c r="H5" s="72">
        <f>0.08*2.5</f>
        <v>0.2</v>
      </c>
      <c r="I5" s="72">
        <f>0.63*2.5</f>
        <v>1.575</v>
      </c>
      <c r="J5" s="72">
        <f>0.08*2.5</f>
        <v>0.2</v>
      </c>
      <c r="K5" s="120"/>
    </row>
    <row r="6" spans="1:11" ht="28.5" x14ac:dyDescent="0.25">
      <c r="A6" s="9" t="s">
        <v>12</v>
      </c>
      <c r="B6" s="9"/>
      <c r="C6" s="72">
        <f>4*2.5</f>
        <v>10</v>
      </c>
      <c r="D6" s="72">
        <f>0.5*2.5</f>
        <v>1.25</v>
      </c>
      <c r="E6" s="72">
        <f>4*2.5</f>
        <v>10</v>
      </c>
      <c r="F6" s="72">
        <f>0.5*2.5</f>
        <v>1.25</v>
      </c>
      <c r="G6" s="72">
        <f>4.7*2.5</f>
        <v>11.75</v>
      </c>
      <c r="H6" s="72">
        <f>0.5*2.5</f>
        <v>1.25</v>
      </c>
      <c r="I6" s="72">
        <f>4*2.5</f>
        <v>10</v>
      </c>
      <c r="J6" s="72">
        <f>0.5*2.5</f>
        <v>1.25</v>
      </c>
      <c r="K6" s="120"/>
    </row>
    <row r="7" spans="1:11" x14ac:dyDescent="0.25">
      <c r="A7" s="9" t="s">
        <v>13</v>
      </c>
      <c r="B7" s="9"/>
      <c r="C7" s="72">
        <f>1.4*2.5</f>
        <v>3.5</v>
      </c>
      <c r="D7" s="72">
        <v>0.1</v>
      </c>
      <c r="E7" s="72">
        <f>1.4*2.5</f>
        <v>3.5</v>
      </c>
      <c r="F7" s="72">
        <v>0.1</v>
      </c>
      <c r="G7" s="72">
        <f>1.4*2.5</f>
        <v>3.5</v>
      </c>
      <c r="H7" s="72">
        <f>0.1*2.5</f>
        <v>0.25</v>
      </c>
      <c r="I7" s="72">
        <f>1.4*2.5</f>
        <v>3.5</v>
      </c>
      <c r="J7" s="72">
        <v>0.1</v>
      </c>
      <c r="K7" s="120"/>
    </row>
    <row r="8" spans="1:11" ht="44.45" customHeight="1" x14ac:dyDescent="0.2">
      <c r="A8" s="9" t="s">
        <v>14</v>
      </c>
      <c r="B8" s="71"/>
      <c r="C8" s="152"/>
      <c r="D8" s="122"/>
      <c r="E8" s="122"/>
      <c r="F8" s="122"/>
      <c r="G8" s="122"/>
      <c r="H8" s="122"/>
      <c r="I8" s="122"/>
      <c r="J8" s="153"/>
      <c r="K8" s="120"/>
    </row>
    <row r="9" spans="1:11" x14ac:dyDescent="0.25">
      <c r="A9" s="9" t="s">
        <v>16</v>
      </c>
      <c r="B9" s="71"/>
      <c r="C9" s="72">
        <f>1.136*2.5</f>
        <v>2.84</v>
      </c>
      <c r="D9" s="10" t="s">
        <v>17</v>
      </c>
      <c r="E9" s="72">
        <f>1.136*2.5</f>
        <v>2.84</v>
      </c>
      <c r="F9" s="10" t="s">
        <v>17</v>
      </c>
      <c r="G9" s="72">
        <f>1.136*2.5</f>
        <v>2.84</v>
      </c>
      <c r="H9" s="10" t="s">
        <v>17</v>
      </c>
      <c r="I9" s="72">
        <f>1.136*2.5</f>
        <v>2.84</v>
      </c>
      <c r="J9" s="10" t="s">
        <v>17</v>
      </c>
      <c r="K9" s="120"/>
    </row>
    <row r="10" spans="1:11" x14ac:dyDescent="0.25">
      <c r="A10" s="9" t="s">
        <v>18</v>
      </c>
      <c r="B10" s="71"/>
      <c r="C10" s="72">
        <f>7.021*2.5</f>
        <v>17.552499999999998</v>
      </c>
      <c r="D10" s="10" t="s">
        <v>17</v>
      </c>
      <c r="E10" s="72">
        <f>7.021*2.5</f>
        <v>17.552499999999998</v>
      </c>
      <c r="F10" s="10" t="s">
        <v>17</v>
      </c>
      <c r="G10" s="72">
        <f>7.021*2.5</f>
        <v>17.552499999999998</v>
      </c>
      <c r="H10" s="10" t="s">
        <v>17</v>
      </c>
      <c r="I10" s="72">
        <f>7.021*2.5</f>
        <v>17.552499999999998</v>
      </c>
      <c r="J10" s="10" t="s">
        <v>17</v>
      </c>
      <c r="K10" s="120"/>
    </row>
    <row r="11" spans="1:11" x14ac:dyDescent="0.25">
      <c r="A11" s="9" t="s">
        <v>19</v>
      </c>
      <c r="B11" s="9"/>
      <c r="C11" s="72">
        <v>2712000000000</v>
      </c>
      <c r="D11" s="72" t="s">
        <v>17</v>
      </c>
      <c r="E11" s="72">
        <v>2712000000000</v>
      </c>
      <c r="F11" s="72" t="s">
        <v>17</v>
      </c>
      <c r="G11" s="72">
        <v>2712000000000</v>
      </c>
      <c r="H11" s="72" t="s">
        <v>17</v>
      </c>
      <c r="I11" s="72">
        <v>2712000000000</v>
      </c>
      <c r="J11" s="72" t="s">
        <v>17</v>
      </c>
      <c r="K11" s="120"/>
    </row>
    <row r="12" spans="1:11" x14ac:dyDescent="0.25">
      <c r="A12" s="9" t="s">
        <v>20</v>
      </c>
      <c r="B12" s="9"/>
      <c r="C12" s="72">
        <v>105000000000000</v>
      </c>
      <c r="D12" s="72" t="s">
        <v>17</v>
      </c>
      <c r="E12" s="72">
        <v>105000000000000</v>
      </c>
      <c r="F12" s="72" t="s">
        <v>17</v>
      </c>
      <c r="G12" s="72">
        <v>105000000000000</v>
      </c>
      <c r="H12" s="72" t="s">
        <v>17</v>
      </c>
      <c r="I12" s="72">
        <v>105000000000000</v>
      </c>
      <c r="J12" s="72" t="s">
        <v>17</v>
      </c>
      <c r="K12" s="120"/>
    </row>
    <row r="13" spans="1:11" x14ac:dyDescent="0.25">
      <c r="A13" s="9" t="s">
        <v>21</v>
      </c>
      <c r="B13" s="9"/>
      <c r="C13" s="72">
        <v>0.1157</v>
      </c>
      <c r="D13" s="72" t="s">
        <v>17</v>
      </c>
      <c r="E13" s="72">
        <v>0.1157</v>
      </c>
      <c r="F13" s="72" t="s">
        <v>17</v>
      </c>
      <c r="G13" s="72">
        <v>0.1157</v>
      </c>
      <c r="H13" s="72" t="s">
        <v>17</v>
      </c>
      <c r="I13" s="72">
        <v>0.1157</v>
      </c>
      <c r="J13" s="72" t="s">
        <v>17</v>
      </c>
      <c r="K13" s="120"/>
    </row>
    <row r="14" spans="1:11" ht="15" thickBot="1" x14ac:dyDescent="0.3">
      <c r="A14" s="11" t="s">
        <v>22</v>
      </c>
      <c r="B14" s="11"/>
      <c r="C14" s="10">
        <v>6.0539999999999997E-2</v>
      </c>
      <c r="D14" s="10" t="s">
        <v>17</v>
      </c>
      <c r="E14" s="10">
        <v>6.0539999999999997E-2</v>
      </c>
      <c r="F14" s="10" t="s">
        <v>17</v>
      </c>
      <c r="G14" s="10">
        <v>6.0539999999999997E-2</v>
      </c>
      <c r="H14" s="10" t="s">
        <v>17</v>
      </c>
      <c r="I14" s="10">
        <v>6.0539999999999997E-2</v>
      </c>
      <c r="J14" s="10" t="s">
        <v>17</v>
      </c>
      <c r="K14" s="121"/>
    </row>
    <row r="15" spans="1:11" ht="15" thickBot="1" x14ac:dyDescent="0.3">
      <c r="A15" s="116" t="s">
        <v>23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8"/>
    </row>
    <row r="16" spans="1:11" ht="27.6" customHeight="1" x14ac:dyDescent="0.25">
      <c r="A16" s="7" t="s">
        <v>24</v>
      </c>
      <c r="B16" s="12" t="s">
        <v>25</v>
      </c>
      <c r="C16" s="13">
        <v>4502</v>
      </c>
      <c r="D16" s="13">
        <v>47</v>
      </c>
      <c r="E16" s="13">
        <v>4467</v>
      </c>
      <c r="F16" s="13">
        <v>43</v>
      </c>
      <c r="G16" s="13">
        <v>4453</v>
      </c>
      <c r="H16" s="13">
        <v>45</v>
      </c>
      <c r="I16" s="13">
        <v>4432</v>
      </c>
      <c r="J16" s="13">
        <v>39</v>
      </c>
      <c r="K16" s="79" t="s">
        <v>26</v>
      </c>
    </row>
    <row r="17" spans="1:11" x14ac:dyDescent="0.25">
      <c r="A17" s="9" t="s">
        <v>27</v>
      </c>
      <c r="B17" s="14" t="s">
        <v>28</v>
      </c>
      <c r="C17" s="72">
        <v>-5.5</v>
      </c>
      <c r="D17" s="72">
        <v>0.26</v>
      </c>
      <c r="E17" s="72">
        <v>-5.5</v>
      </c>
      <c r="F17" s="72">
        <v>0.53</v>
      </c>
      <c r="G17" s="72">
        <v>-4.5999999999999996</v>
      </c>
      <c r="H17" s="72">
        <v>0.65</v>
      </c>
      <c r="I17" s="72">
        <v>-5</v>
      </c>
      <c r="J17" s="72">
        <v>0.49</v>
      </c>
      <c r="K17" s="79"/>
    </row>
    <row r="18" spans="1:11" x14ac:dyDescent="0.25">
      <c r="A18" s="9" t="s">
        <v>29</v>
      </c>
      <c r="B18" s="14" t="s">
        <v>30</v>
      </c>
      <c r="C18" s="72">
        <v>93.7</v>
      </c>
      <c r="D18" s="72">
        <v>3</v>
      </c>
      <c r="E18" s="72">
        <v>95.9</v>
      </c>
      <c r="F18" s="72">
        <v>2.6</v>
      </c>
      <c r="G18" s="72">
        <v>93.4</v>
      </c>
      <c r="H18" s="72">
        <v>2.8</v>
      </c>
      <c r="I18" s="72">
        <v>91.7</v>
      </c>
      <c r="J18" s="72">
        <v>2.6</v>
      </c>
      <c r="K18" s="79"/>
    </row>
    <row r="19" spans="1:11" x14ac:dyDescent="0.25">
      <c r="A19" s="9" t="s">
        <v>31</v>
      </c>
      <c r="B19" s="14" t="s">
        <v>32</v>
      </c>
      <c r="C19" s="15">
        <v>0</v>
      </c>
      <c r="D19" s="72" t="s">
        <v>17</v>
      </c>
      <c r="E19" s="15">
        <v>0</v>
      </c>
      <c r="F19" s="72" t="s">
        <v>17</v>
      </c>
      <c r="G19" s="15">
        <v>0</v>
      </c>
      <c r="H19" s="72" t="s">
        <v>17</v>
      </c>
      <c r="I19" s="15">
        <v>0</v>
      </c>
      <c r="J19" s="72" t="s">
        <v>17</v>
      </c>
      <c r="K19" s="79"/>
    </row>
    <row r="20" spans="1:11" x14ac:dyDescent="0.25">
      <c r="A20" s="9" t="s">
        <v>33</v>
      </c>
      <c r="B20" s="14" t="s">
        <v>34</v>
      </c>
      <c r="C20" s="72">
        <v>108.4</v>
      </c>
      <c r="D20" s="72">
        <v>14.7</v>
      </c>
      <c r="E20" s="72">
        <v>51.1</v>
      </c>
      <c r="F20" s="72">
        <v>9.4</v>
      </c>
      <c r="G20" s="72">
        <v>51.8</v>
      </c>
      <c r="H20" s="72">
        <v>13.4</v>
      </c>
      <c r="I20" s="72">
        <v>72.3</v>
      </c>
      <c r="J20" s="72">
        <v>18.2</v>
      </c>
      <c r="K20" s="79"/>
    </row>
    <row r="21" spans="1:11" x14ac:dyDescent="0.25">
      <c r="A21" s="9" t="s">
        <v>35</v>
      </c>
      <c r="B21" s="14"/>
      <c r="C21" s="72">
        <v>48</v>
      </c>
      <c r="D21" s="72">
        <v>14</v>
      </c>
      <c r="E21" s="72">
        <v>58</v>
      </c>
      <c r="F21" s="72">
        <v>11</v>
      </c>
      <c r="G21" s="72">
        <v>57</v>
      </c>
      <c r="H21" s="72">
        <v>10</v>
      </c>
      <c r="I21" s="72">
        <v>59</v>
      </c>
      <c r="J21" s="72">
        <v>12</v>
      </c>
      <c r="K21" s="120" t="s">
        <v>36</v>
      </c>
    </row>
    <row r="22" spans="1:11" x14ac:dyDescent="0.25">
      <c r="A22" s="9" t="s">
        <v>37</v>
      </c>
      <c r="B22" s="16"/>
      <c r="C22" s="72">
        <v>99</v>
      </c>
      <c r="D22" s="72">
        <v>12</v>
      </c>
      <c r="E22" s="72">
        <v>82</v>
      </c>
      <c r="F22" s="72">
        <v>21</v>
      </c>
      <c r="G22" s="72">
        <v>99</v>
      </c>
      <c r="H22" s="72">
        <v>14</v>
      </c>
      <c r="I22" s="72">
        <v>116</v>
      </c>
      <c r="J22" s="72">
        <v>12</v>
      </c>
      <c r="K22" s="123"/>
    </row>
    <row r="23" spans="1:11" x14ac:dyDescent="0.25">
      <c r="A23" s="9" t="s">
        <v>38</v>
      </c>
      <c r="B23" s="16"/>
      <c r="C23" s="72">
        <v>0.18</v>
      </c>
      <c r="D23" s="72" t="s">
        <v>39</v>
      </c>
      <c r="E23" s="72">
        <v>0.18</v>
      </c>
      <c r="F23" s="72" t="s">
        <v>39</v>
      </c>
      <c r="G23" s="72">
        <v>0.2</v>
      </c>
      <c r="H23" s="72" t="s">
        <v>238</v>
      </c>
      <c r="I23" s="72">
        <v>0.16</v>
      </c>
      <c r="J23" s="72" t="s">
        <v>238</v>
      </c>
      <c r="K23" s="123"/>
    </row>
    <row r="24" spans="1:11" x14ac:dyDescent="0.25">
      <c r="A24" s="9" t="s">
        <v>40</v>
      </c>
      <c r="B24" s="16"/>
      <c r="C24" s="72">
        <v>39</v>
      </c>
      <c r="D24" s="72">
        <v>12</v>
      </c>
      <c r="E24" s="72">
        <v>42</v>
      </c>
      <c r="F24" s="72">
        <v>12</v>
      </c>
      <c r="G24" s="72">
        <v>39</v>
      </c>
      <c r="H24" s="72">
        <v>18</v>
      </c>
      <c r="I24" s="72">
        <v>57</v>
      </c>
      <c r="J24" s="72">
        <v>7</v>
      </c>
      <c r="K24" s="123"/>
    </row>
    <row r="25" spans="1:11" x14ac:dyDescent="0.25">
      <c r="A25" s="9" t="s">
        <v>41</v>
      </c>
      <c r="B25" s="16"/>
      <c r="C25" s="72">
        <v>59</v>
      </c>
      <c r="D25" s="72">
        <v>12</v>
      </c>
      <c r="E25" s="72">
        <v>80</v>
      </c>
      <c r="F25" s="72">
        <v>10</v>
      </c>
      <c r="G25" s="72">
        <v>49</v>
      </c>
      <c r="H25" s="72">
        <v>11</v>
      </c>
      <c r="I25" s="72">
        <v>90</v>
      </c>
      <c r="J25" s="72">
        <v>6</v>
      </c>
      <c r="K25" s="123"/>
    </row>
    <row r="26" spans="1:11" x14ac:dyDescent="0.25">
      <c r="A26" s="11" t="s">
        <v>42</v>
      </c>
      <c r="B26" s="108" t="s">
        <v>43</v>
      </c>
      <c r="C26" s="17">
        <v>17.350000000000001</v>
      </c>
      <c r="D26" s="17">
        <v>0.70799999999999996</v>
      </c>
      <c r="E26" s="17">
        <v>17.350000000000001</v>
      </c>
      <c r="F26" s="17">
        <v>0.68399999999999994</v>
      </c>
      <c r="G26" s="17">
        <v>17.350000000000001</v>
      </c>
      <c r="H26" s="17">
        <v>0.68399999999999994</v>
      </c>
      <c r="I26" s="17">
        <v>17.350000000000001</v>
      </c>
      <c r="J26" s="17">
        <v>0.68399999999999994</v>
      </c>
      <c r="K26" s="18"/>
    </row>
    <row r="27" spans="1:11" x14ac:dyDescent="0.25">
      <c r="A27" s="11" t="s">
        <v>44</v>
      </c>
      <c r="B27" s="109"/>
      <c r="C27" s="17">
        <v>15.49</v>
      </c>
      <c r="D27" s="17">
        <v>0.70799999999999996</v>
      </c>
      <c r="E27" s="17">
        <v>15.49</v>
      </c>
      <c r="F27" s="17">
        <v>0.68399999999999994</v>
      </c>
      <c r="G27" s="17">
        <v>15.49</v>
      </c>
      <c r="H27" s="17">
        <v>0.68399999999999994</v>
      </c>
      <c r="I27" s="17">
        <v>15.49</v>
      </c>
      <c r="J27" s="17">
        <v>0.68399999999999994</v>
      </c>
      <c r="K27" s="18"/>
    </row>
    <row r="28" spans="1:11" x14ac:dyDescent="0.25">
      <c r="A28" s="11" t="s">
        <v>45</v>
      </c>
      <c r="B28" s="109"/>
      <c r="C28" s="17">
        <v>15.49</v>
      </c>
      <c r="D28" s="17">
        <v>0.70799999999999996</v>
      </c>
      <c r="E28" s="17">
        <v>15.49</v>
      </c>
      <c r="F28" s="17">
        <v>0.68399999999999994</v>
      </c>
      <c r="G28" s="17">
        <v>15.49</v>
      </c>
      <c r="H28" s="17">
        <v>0.68399999999999994</v>
      </c>
      <c r="I28" s="17">
        <v>15.49</v>
      </c>
      <c r="J28" s="17">
        <v>0.68399999999999994</v>
      </c>
      <c r="K28" s="18"/>
    </row>
    <row r="29" spans="1:11" x14ac:dyDescent="0.25">
      <c r="A29" s="11" t="s">
        <v>46</v>
      </c>
      <c r="B29" s="110"/>
      <c r="C29" s="17">
        <v>16.494</v>
      </c>
      <c r="D29" s="17">
        <v>0.20400000000000001</v>
      </c>
      <c r="E29" s="17">
        <v>16.494</v>
      </c>
      <c r="F29" s="17">
        <v>0.20400000000000001</v>
      </c>
      <c r="G29" s="17">
        <v>16.494</v>
      </c>
      <c r="H29" s="17">
        <v>0.20400000000000001</v>
      </c>
      <c r="I29" s="17">
        <v>16.494</v>
      </c>
      <c r="J29" s="17">
        <v>0.20400000000000001</v>
      </c>
      <c r="K29" s="18"/>
    </row>
    <row r="30" spans="1:11" ht="15" customHeight="1" x14ac:dyDescent="0.25">
      <c r="A30" s="11" t="s">
        <v>47</v>
      </c>
      <c r="B30" s="108" t="s">
        <v>48</v>
      </c>
      <c r="C30" s="17">
        <v>17.350000000000001</v>
      </c>
      <c r="D30" s="17">
        <v>0.70799999999999996</v>
      </c>
      <c r="E30" s="17">
        <v>17.350000000000001</v>
      </c>
      <c r="F30" s="17">
        <v>0.68399999999999994</v>
      </c>
      <c r="G30" s="17">
        <v>17.350000000000001</v>
      </c>
      <c r="H30" s="17">
        <v>0.68399999999999994</v>
      </c>
      <c r="I30" s="17">
        <v>17.350000000000001</v>
      </c>
      <c r="J30" s="17">
        <v>0.68399999999999994</v>
      </c>
      <c r="K30" s="18"/>
    </row>
    <row r="31" spans="1:11" ht="15" customHeight="1" x14ac:dyDescent="0.25">
      <c r="A31" s="11" t="s">
        <v>49</v>
      </c>
      <c r="B31" s="109"/>
      <c r="C31" s="17">
        <v>15.49</v>
      </c>
      <c r="D31" s="17">
        <v>0.70799999999999996</v>
      </c>
      <c r="E31" s="17">
        <v>15.49</v>
      </c>
      <c r="F31" s="17">
        <v>0.68399999999999994</v>
      </c>
      <c r="G31" s="17">
        <v>15.49</v>
      </c>
      <c r="H31" s="17">
        <v>0.68399999999999994</v>
      </c>
      <c r="I31" s="17">
        <v>15.49</v>
      </c>
      <c r="J31" s="17">
        <v>0.68399999999999994</v>
      </c>
      <c r="K31" s="18"/>
    </row>
    <row r="32" spans="1:11" ht="15" customHeight="1" x14ac:dyDescent="0.25">
      <c r="A32" s="11" t="s">
        <v>50</v>
      </c>
      <c r="B32" s="109"/>
      <c r="C32" s="17">
        <v>15.49</v>
      </c>
      <c r="D32" s="17">
        <v>0.70799999999999996</v>
      </c>
      <c r="E32" s="17">
        <v>15.49</v>
      </c>
      <c r="F32" s="17">
        <v>0.68399999999999994</v>
      </c>
      <c r="G32" s="17">
        <v>15.49</v>
      </c>
      <c r="H32" s="17">
        <v>0.68399999999999994</v>
      </c>
      <c r="I32" s="17">
        <v>15.49</v>
      </c>
      <c r="J32" s="17">
        <v>0.68399999999999994</v>
      </c>
      <c r="K32" s="18"/>
    </row>
    <row r="33" spans="1:11" x14ac:dyDescent="0.25">
      <c r="A33" s="11" t="s">
        <v>51</v>
      </c>
      <c r="B33" s="109"/>
      <c r="C33" s="17">
        <v>28.733999999999998</v>
      </c>
      <c r="D33" s="17">
        <v>0.87</v>
      </c>
      <c r="E33" s="17">
        <v>38.22</v>
      </c>
      <c r="F33" s="17">
        <v>1.3499999999999999</v>
      </c>
      <c r="G33" s="17">
        <v>30.42</v>
      </c>
      <c r="H33" s="17">
        <v>1.2899999999999998</v>
      </c>
      <c r="I33" s="17">
        <v>39.42</v>
      </c>
      <c r="J33" s="17">
        <v>1.3440000000000001</v>
      </c>
      <c r="K33" s="18"/>
    </row>
    <row r="34" spans="1:11" x14ac:dyDescent="0.25">
      <c r="A34" s="11" t="s">
        <v>52</v>
      </c>
      <c r="B34" s="110"/>
      <c r="C34" s="17">
        <v>28.733999999999998</v>
      </c>
      <c r="D34" s="17">
        <v>0.87</v>
      </c>
      <c r="E34" s="17">
        <v>38.22</v>
      </c>
      <c r="F34" s="17">
        <v>1.3499999999999999</v>
      </c>
      <c r="G34" s="17">
        <v>30.42</v>
      </c>
      <c r="H34" s="17">
        <v>1.2899999999999998</v>
      </c>
      <c r="I34" s="17">
        <v>39.42</v>
      </c>
      <c r="J34" s="17">
        <v>1.3440000000000001</v>
      </c>
      <c r="K34" s="18"/>
    </row>
    <row r="35" spans="1:11" x14ac:dyDescent="0.25">
      <c r="A35" s="111" t="s">
        <v>53</v>
      </c>
      <c r="B35" s="65"/>
      <c r="C35" s="19">
        <v>-32.9</v>
      </c>
      <c r="D35" s="114" t="s">
        <v>54</v>
      </c>
      <c r="E35" s="19">
        <v>-32.9</v>
      </c>
      <c r="F35" s="114" t="s">
        <v>54</v>
      </c>
      <c r="G35" s="19">
        <v>-32.9</v>
      </c>
      <c r="H35" s="114" t="s">
        <v>54</v>
      </c>
      <c r="I35" s="19">
        <v>-32.9</v>
      </c>
      <c r="J35" s="114" t="s">
        <v>54</v>
      </c>
    </row>
    <row r="36" spans="1:11" x14ac:dyDescent="0.25">
      <c r="A36" s="112"/>
      <c r="B36" s="65"/>
      <c r="C36" s="19">
        <v>-64.900000000000006</v>
      </c>
      <c r="D36" s="115"/>
      <c r="E36" s="19">
        <v>-70.900000000000006</v>
      </c>
      <c r="F36" s="115"/>
      <c r="G36" s="19">
        <v>-64.900000000000006</v>
      </c>
      <c r="H36" s="115"/>
      <c r="I36" s="19">
        <v>-70.900000000000006</v>
      </c>
      <c r="J36" s="115"/>
    </row>
    <row r="37" spans="1:11" x14ac:dyDescent="0.25">
      <c r="A37" s="113"/>
      <c r="B37" s="65"/>
      <c r="C37" s="19">
        <v>-16.5</v>
      </c>
      <c r="D37" s="115"/>
      <c r="E37" s="19">
        <v>-16.5</v>
      </c>
      <c r="F37" s="115"/>
      <c r="G37" s="19">
        <v>-16.5</v>
      </c>
      <c r="H37" s="115"/>
      <c r="I37" s="19">
        <v>-16.5</v>
      </c>
      <c r="J37" s="115"/>
    </row>
    <row r="38" spans="1:11" ht="29.25" thickBot="1" x14ac:dyDescent="0.3">
      <c r="A38" s="11" t="s">
        <v>55</v>
      </c>
      <c r="B38" s="11"/>
      <c r="C38" s="20">
        <v>-2</v>
      </c>
      <c r="D38" s="21" t="s">
        <v>39</v>
      </c>
      <c r="E38" s="20">
        <v>-2</v>
      </c>
      <c r="F38" s="21" t="s">
        <v>39</v>
      </c>
      <c r="G38" s="20">
        <v>-2</v>
      </c>
      <c r="H38" s="21" t="s">
        <v>39</v>
      </c>
      <c r="I38" s="20">
        <v>-2</v>
      </c>
      <c r="J38" s="21" t="s">
        <v>39</v>
      </c>
      <c r="K38" s="74" t="s">
        <v>56</v>
      </c>
    </row>
    <row r="39" spans="1:11" ht="15" thickBot="1" x14ac:dyDescent="0.3">
      <c r="A39" s="116" t="s">
        <v>57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8"/>
    </row>
    <row r="40" spans="1:11" ht="28.5" x14ac:dyDescent="0.25">
      <c r="A40" s="7" t="s">
        <v>58</v>
      </c>
      <c r="B40" s="12" t="s">
        <v>59</v>
      </c>
      <c r="C40" s="13">
        <v>5526</v>
      </c>
      <c r="D40" s="13">
        <v>44</v>
      </c>
      <c r="E40" s="13">
        <v>5376</v>
      </c>
      <c r="F40" s="13">
        <v>41</v>
      </c>
      <c r="G40" s="13">
        <v>5497</v>
      </c>
      <c r="H40" s="13">
        <v>43</v>
      </c>
      <c r="I40" s="13">
        <v>5381</v>
      </c>
      <c r="J40" s="13">
        <v>36</v>
      </c>
      <c r="K40" s="124" t="s">
        <v>60</v>
      </c>
    </row>
    <row r="41" spans="1:11" x14ac:dyDescent="0.25">
      <c r="A41" s="9" t="s">
        <v>61</v>
      </c>
      <c r="C41" s="13">
        <v>1024</v>
      </c>
      <c r="D41" s="13">
        <v>22</v>
      </c>
      <c r="E41" s="13">
        <v>909</v>
      </c>
      <c r="F41" s="13">
        <v>28</v>
      </c>
      <c r="G41" s="13">
        <v>1054</v>
      </c>
      <c r="H41" s="13">
        <v>29</v>
      </c>
      <c r="I41" s="13">
        <v>949</v>
      </c>
      <c r="J41" s="13">
        <v>20</v>
      </c>
      <c r="K41" s="125"/>
    </row>
    <row r="42" spans="1:11" x14ac:dyDescent="0.25">
      <c r="A42" s="9" t="s">
        <v>62</v>
      </c>
      <c r="B42" s="14" t="s">
        <v>63</v>
      </c>
      <c r="C42" s="72">
        <v>-8.5</v>
      </c>
      <c r="D42" s="72">
        <v>0.19</v>
      </c>
      <c r="E42" s="72">
        <v>-9</v>
      </c>
      <c r="F42" s="72">
        <v>0.27</v>
      </c>
      <c r="G42" s="72">
        <v>-8.3000000000000007</v>
      </c>
      <c r="H42" s="72">
        <v>0.19</v>
      </c>
      <c r="I42" s="72">
        <v>-8.9</v>
      </c>
      <c r="J42" s="72">
        <v>0.26</v>
      </c>
      <c r="K42" s="125"/>
    </row>
    <row r="43" spans="1:11" x14ac:dyDescent="0.25">
      <c r="A43" s="9" t="s">
        <v>64</v>
      </c>
      <c r="B43" s="14" t="s">
        <v>65</v>
      </c>
      <c r="C43" s="72">
        <v>82</v>
      </c>
      <c r="D43" s="72">
        <v>2.8</v>
      </c>
      <c r="E43" s="72">
        <v>76</v>
      </c>
      <c r="F43" s="72">
        <v>1.9</v>
      </c>
      <c r="G43" s="72">
        <v>82</v>
      </c>
      <c r="H43" s="72">
        <v>3.5</v>
      </c>
      <c r="I43" s="72">
        <v>76</v>
      </c>
      <c r="J43" s="72">
        <v>2</v>
      </c>
      <c r="K43" s="74"/>
    </row>
    <row r="44" spans="1:11" ht="42.75" x14ac:dyDescent="0.25">
      <c r="A44" s="9" t="s">
        <v>66</v>
      </c>
      <c r="B44" s="14" t="s">
        <v>67</v>
      </c>
      <c r="C44" s="72">
        <v>3.5000000000000003E-2</v>
      </c>
      <c r="D44" s="72" t="s">
        <v>39</v>
      </c>
      <c r="E44" s="72">
        <v>0.03</v>
      </c>
      <c r="F44" s="72" t="s">
        <v>39</v>
      </c>
      <c r="G44" s="72">
        <v>0.05</v>
      </c>
      <c r="H44" s="72" t="s">
        <v>39</v>
      </c>
      <c r="I44" s="72">
        <v>0.04</v>
      </c>
      <c r="J44" s="72" t="s">
        <v>39</v>
      </c>
      <c r="K44" s="74" t="s">
        <v>36</v>
      </c>
    </row>
    <row r="45" spans="1:11" x14ac:dyDescent="0.25">
      <c r="A45" s="9" t="s">
        <v>68</v>
      </c>
      <c r="B45" s="14" t="s">
        <v>34</v>
      </c>
      <c r="C45" s="72">
        <v>125.3</v>
      </c>
      <c r="D45" s="72">
        <v>15.4</v>
      </c>
      <c r="E45" s="72">
        <v>68</v>
      </c>
      <c r="F45" s="72">
        <v>9.6</v>
      </c>
      <c r="G45" s="72">
        <v>114</v>
      </c>
      <c r="H45" s="72">
        <v>14.2</v>
      </c>
      <c r="I45" s="72">
        <v>66</v>
      </c>
      <c r="J45" s="72">
        <v>12.4</v>
      </c>
      <c r="K45" s="126" t="s">
        <v>69</v>
      </c>
    </row>
    <row r="46" spans="1:11" x14ac:dyDescent="0.25">
      <c r="A46" s="9" t="s">
        <v>70</v>
      </c>
      <c r="C46" s="13">
        <f>98.7*0.6</f>
        <v>59.22</v>
      </c>
      <c r="D46" s="13">
        <v>2</v>
      </c>
      <c r="E46" s="13">
        <f>99.5*0.6</f>
        <v>59.699999999999996</v>
      </c>
      <c r="F46" s="13">
        <v>1.27</v>
      </c>
      <c r="G46" s="13">
        <f>107.1*0.6</f>
        <v>64.259999999999991</v>
      </c>
      <c r="H46" s="13">
        <v>2.17</v>
      </c>
      <c r="I46" s="13">
        <f>95.1*0.6</f>
        <v>57.059999999999995</v>
      </c>
      <c r="J46" s="13">
        <v>1.1000000000000001</v>
      </c>
      <c r="K46" s="126"/>
    </row>
    <row r="47" spans="1:11" x14ac:dyDescent="0.25">
      <c r="A47" s="9" t="s">
        <v>72</v>
      </c>
      <c r="B47" s="16" t="s">
        <v>73</v>
      </c>
      <c r="C47" s="23">
        <v>66.400000000000006</v>
      </c>
      <c r="D47" s="23">
        <v>1.1000000000000001</v>
      </c>
      <c r="E47" s="23">
        <v>67.08</v>
      </c>
      <c r="F47" s="23">
        <v>0.62</v>
      </c>
      <c r="G47" s="23">
        <v>69.3</v>
      </c>
      <c r="H47" s="23">
        <v>1.3</v>
      </c>
      <c r="I47" s="23">
        <v>64.739999999999995</v>
      </c>
      <c r="J47" s="23">
        <v>0.87</v>
      </c>
    </row>
    <row r="48" spans="1:11" ht="31.5" customHeight="1" x14ac:dyDescent="0.25">
      <c r="A48" s="9" t="s">
        <v>74</v>
      </c>
      <c r="B48" s="16"/>
      <c r="C48" s="23" t="s">
        <v>75</v>
      </c>
      <c r="D48" s="23"/>
      <c r="E48" s="23" t="s">
        <v>75</v>
      </c>
      <c r="F48" s="23"/>
      <c r="G48" s="23" t="s">
        <v>75</v>
      </c>
      <c r="H48" s="23"/>
      <c r="I48" s="23" t="s">
        <v>75</v>
      </c>
      <c r="J48" s="23"/>
    </row>
    <row r="49" spans="1:11" ht="28.5" x14ac:dyDescent="0.25">
      <c r="A49" s="9" t="s">
        <v>76</v>
      </c>
      <c r="B49" s="16"/>
      <c r="C49" s="64">
        <v>-4.5</v>
      </c>
      <c r="D49" s="72" t="s">
        <v>39</v>
      </c>
      <c r="E49" s="64">
        <v>-4.5</v>
      </c>
      <c r="F49" s="72" t="s">
        <v>39</v>
      </c>
      <c r="G49" s="64">
        <v>-4.5</v>
      </c>
      <c r="H49" s="72" t="s">
        <v>39</v>
      </c>
      <c r="I49" s="64">
        <v>-4.5</v>
      </c>
      <c r="J49" s="72" t="s">
        <v>39</v>
      </c>
      <c r="K49" s="74" t="s">
        <v>56</v>
      </c>
    </row>
    <row r="50" spans="1:11" ht="28.5" x14ac:dyDescent="0.25">
      <c r="A50" s="9" t="s">
        <v>78</v>
      </c>
      <c r="B50" s="16"/>
      <c r="C50" s="24">
        <f>1.08*C47</f>
        <v>71.712000000000018</v>
      </c>
      <c r="D50" s="25" t="s">
        <v>39</v>
      </c>
      <c r="E50" s="24">
        <f>1.08*E47</f>
        <v>72.446399999999997</v>
      </c>
      <c r="F50" s="25" t="s">
        <v>39</v>
      </c>
      <c r="G50" s="24">
        <f>1.08*G47</f>
        <v>74.844000000000008</v>
      </c>
      <c r="H50" s="25" t="s">
        <v>39</v>
      </c>
      <c r="I50" s="24">
        <f>1.08*I47</f>
        <v>69.919200000000004</v>
      </c>
      <c r="J50" s="25" t="s">
        <v>39</v>
      </c>
      <c r="K50" s="74" t="s">
        <v>56</v>
      </c>
    </row>
    <row r="51" spans="1:11" x14ac:dyDescent="0.25">
      <c r="A51" s="9" t="s">
        <v>79</v>
      </c>
      <c r="B51" s="16" t="s">
        <v>80</v>
      </c>
      <c r="C51" s="64">
        <v>6</v>
      </c>
      <c r="D51" s="72" t="s">
        <v>39</v>
      </c>
      <c r="E51" s="64">
        <v>6</v>
      </c>
      <c r="F51" s="72" t="s">
        <v>39</v>
      </c>
      <c r="G51" s="64">
        <v>6</v>
      </c>
      <c r="H51" s="72" t="s">
        <v>39</v>
      </c>
      <c r="I51" s="64">
        <v>6</v>
      </c>
      <c r="J51" s="72" t="s">
        <v>39</v>
      </c>
      <c r="K51" s="26"/>
    </row>
    <row r="52" spans="1:11" x14ac:dyDescent="0.25">
      <c r="A52" s="9" t="s">
        <v>81</v>
      </c>
      <c r="B52" s="16"/>
      <c r="C52" s="64">
        <v>-0.02</v>
      </c>
      <c r="D52" s="72" t="s">
        <v>39</v>
      </c>
      <c r="E52" s="64">
        <v>-0.08</v>
      </c>
      <c r="F52" s="72" t="s">
        <v>39</v>
      </c>
      <c r="G52" s="64">
        <v>-0.02</v>
      </c>
      <c r="H52" s="72" t="s">
        <v>39</v>
      </c>
      <c r="I52" s="64">
        <v>-0.06</v>
      </c>
      <c r="J52" s="72" t="s">
        <v>39</v>
      </c>
      <c r="K52" s="26"/>
    </row>
    <row r="53" spans="1:11" x14ac:dyDescent="0.25">
      <c r="A53" s="9" t="s">
        <v>82</v>
      </c>
      <c r="B53" s="16" t="s">
        <v>83</v>
      </c>
      <c r="C53" s="64">
        <v>-0.08</v>
      </c>
      <c r="D53" s="72" t="s">
        <v>39</v>
      </c>
      <c r="E53" s="64">
        <v>-0.08</v>
      </c>
      <c r="F53" s="72" t="s">
        <v>39</v>
      </c>
      <c r="G53" s="64">
        <v>-0.08</v>
      </c>
      <c r="H53" s="72" t="s">
        <v>39</v>
      </c>
      <c r="I53" s="64">
        <v>-0.08</v>
      </c>
      <c r="J53" s="72" t="s">
        <v>39</v>
      </c>
      <c r="K53" s="26"/>
    </row>
    <row r="54" spans="1:11" x14ac:dyDescent="0.25">
      <c r="A54" s="27" t="s">
        <v>84</v>
      </c>
      <c r="B54" s="28"/>
      <c r="C54" s="72">
        <v>37.299999999999997</v>
      </c>
      <c r="D54" s="72">
        <v>1.6</v>
      </c>
      <c r="E54" s="72">
        <v>41.8</v>
      </c>
      <c r="F54" s="72">
        <v>1.7</v>
      </c>
      <c r="G54" s="72">
        <v>36.6</v>
      </c>
      <c r="H54" s="72">
        <v>1.7</v>
      </c>
      <c r="I54" s="72">
        <v>40.9</v>
      </c>
      <c r="J54" s="72">
        <v>1.9</v>
      </c>
      <c r="K54" s="26"/>
    </row>
    <row r="55" spans="1:11" x14ac:dyDescent="0.25">
      <c r="A55" s="27" t="s">
        <v>85</v>
      </c>
      <c r="B55" s="28"/>
      <c r="C55" s="72">
        <v>26.3</v>
      </c>
      <c r="D55" s="72">
        <v>3.4</v>
      </c>
      <c r="E55" s="72">
        <v>33.4</v>
      </c>
      <c r="F55" s="72">
        <v>2.5</v>
      </c>
      <c r="G55" s="72">
        <v>23.5</v>
      </c>
      <c r="H55" s="72">
        <v>5</v>
      </c>
      <c r="I55" s="72">
        <v>32.299999999999997</v>
      </c>
      <c r="J55" s="72">
        <v>3</v>
      </c>
      <c r="K55" s="26"/>
    </row>
    <row r="56" spans="1:11" x14ac:dyDescent="0.25">
      <c r="A56" s="9" t="s">
        <v>86</v>
      </c>
      <c r="B56" s="71"/>
      <c r="C56" s="29">
        <v>-2.2000000000000002</v>
      </c>
      <c r="D56" s="72"/>
      <c r="E56" s="72">
        <v>-2.2000000000000002</v>
      </c>
      <c r="F56" s="72"/>
      <c r="G56" s="72">
        <v>-2.2000000000000002</v>
      </c>
      <c r="H56" s="72"/>
      <c r="I56" s="72">
        <v>-2.2000000000000002</v>
      </c>
      <c r="J56" s="72"/>
      <c r="K56" s="26"/>
    </row>
    <row r="57" spans="1:11" ht="29.25" thickBot="1" x14ac:dyDescent="0.3">
      <c r="A57" s="30" t="s">
        <v>87</v>
      </c>
      <c r="B57" s="31"/>
      <c r="C57" s="10">
        <v>2.86</v>
      </c>
      <c r="D57" s="10">
        <v>0.41</v>
      </c>
      <c r="E57" s="10">
        <v>2.1800000000000002</v>
      </c>
      <c r="F57" s="10">
        <v>0.33</v>
      </c>
      <c r="G57" s="10">
        <v>2.82</v>
      </c>
      <c r="H57" s="10">
        <v>0.52</v>
      </c>
      <c r="I57" s="10">
        <v>2.34</v>
      </c>
      <c r="J57" s="10">
        <v>0.34</v>
      </c>
      <c r="K57" s="26"/>
    </row>
    <row r="58" spans="1:11" ht="15" thickBot="1" x14ac:dyDescent="0.3">
      <c r="A58" s="116" t="s">
        <v>88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8"/>
    </row>
    <row r="59" spans="1:11" ht="14.45" customHeight="1" x14ac:dyDescent="0.25">
      <c r="A59" s="66" t="s">
        <v>89</v>
      </c>
      <c r="B59" s="66"/>
      <c r="C59" s="127" t="s">
        <v>239</v>
      </c>
      <c r="D59" s="127"/>
      <c r="E59" s="127"/>
      <c r="F59" s="127"/>
      <c r="G59" s="127"/>
      <c r="H59" s="127"/>
      <c r="I59" s="127"/>
      <c r="J59" s="127"/>
      <c r="K59" s="128" t="s">
        <v>90</v>
      </c>
    </row>
    <row r="60" spans="1:11" x14ac:dyDescent="0.25">
      <c r="A60" s="32" t="s">
        <v>91</v>
      </c>
      <c r="B60" s="6"/>
      <c r="C60" s="131">
        <v>60000</v>
      </c>
      <c r="D60" s="131"/>
      <c r="E60" s="131"/>
      <c r="F60" s="131"/>
      <c r="G60" s="131"/>
      <c r="H60" s="131"/>
      <c r="I60" s="131"/>
      <c r="J60" s="151"/>
      <c r="K60" s="128"/>
    </row>
    <row r="61" spans="1:11" ht="14.45" customHeight="1" x14ac:dyDescent="0.25">
      <c r="A61" s="71" t="s">
        <v>93</v>
      </c>
      <c r="B61" s="71"/>
      <c r="C61" s="33">
        <v>67096.989000000001</v>
      </c>
      <c r="D61" s="72"/>
      <c r="E61" s="33">
        <v>67042.669899999994</v>
      </c>
      <c r="F61" s="72"/>
      <c r="G61" s="33">
        <v>66857.530700000003</v>
      </c>
      <c r="H61" s="72"/>
      <c r="I61" s="33">
        <v>67342.034299999999</v>
      </c>
      <c r="J61" s="72"/>
      <c r="K61" s="129"/>
    </row>
    <row r="62" spans="1:11" ht="14.45" customHeight="1" x14ac:dyDescent="0.25">
      <c r="A62" s="71" t="s">
        <v>94</v>
      </c>
      <c r="B62" s="71"/>
      <c r="C62" s="33">
        <v>105595.88499999999</v>
      </c>
      <c r="D62" s="72"/>
      <c r="E62" s="33">
        <v>99763.729000000007</v>
      </c>
      <c r="F62" s="72"/>
      <c r="G62" s="33">
        <v>99208.672999999995</v>
      </c>
      <c r="H62" s="72"/>
      <c r="I62" s="33">
        <v>104512.049</v>
      </c>
      <c r="J62" s="72"/>
      <c r="K62" s="129"/>
    </row>
    <row r="63" spans="1:11" ht="14.45" customHeight="1" x14ac:dyDescent="0.25">
      <c r="A63" s="71" t="s">
        <v>95</v>
      </c>
      <c r="B63" s="71"/>
      <c r="C63" s="33">
        <v>68706.378500000006</v>
      </c>
      <c r="D63" s="72"/>
      <c r="E63" s="33">
        <v>68574.796849999999</v>
      </c>
      <c r="F63" s="72"/>
      <c r="G63" s="33">
        <v>68397.952050000007</v>
      </c>
      <c r="H63" s="72"/>
      <c r="I63" s="33">
        <v>68988.945449999999</v>
      </c>
      <c r="J63" s="72"/>
      <c r="K63" s="129"/>
    </row>
    <row r="64" spans="1:11" ht="14.45" customHeight="1" x14ac:dyDescent="0.25">
      <c r="A64" s="71" t="s">
        <v>96</v>
      </c>
      <c r="B64" s="71"/>
      <c r="C64" s="33">
        <v>123253.3775</v>
      </c>
      <c r="D64" s="72"/>
      <c r="E64" s="33">
        <v>109125.6635</v>
      </c>
      <c r="F64" s="72"/>
      <c r="G64" s="33">
        <v>108595.4745</v>
      </c>
      <c r="H64" s="72"/>
      <c r="I64" s="33">
        <v>122077.61849999998</v>
      </c>
      <c r="J64" s="72"/>
      <c r="K64" s="129"/>
    </row>
    <row r="65" spans="1:11" ht="19.899999999999999" customHeight="1" x14ac:dyDescent="0.25">
      <c r="A65" s="71" t="s">
        <v>97</v>
      </c>
      <c r="B65" s="71"/>
      <c r="C65" s="132" t="s">
        <v>240</v>
      </c>
      <c r="D65" s="132"/>
      <c r="E65" s="132"/>
      <c r="F65" s="132"/>
      <c r="G65" s="132"/>
      <c r="H65" s="132"/>
      <c r="I65" s="132"/>
      <c r="J65" s="132"/>
      <c r="K65" s="129"/>
    </row>
    <row r="66" spans="1:11" ht="19.899999999999999" customHeight="1" x14ac:dyDescent="0.25">
      <c r="A66" s="71" t="s">
        <v>98</v>
      </c>
      <c r="B66" s="16" t="s">
        <v>80</v>
      </c>
      <c r="C66" s="133" t="s">
        <v>241</v>
      </c>
      <c r="D66" s="133"/>
      <c r="E66" s="133"/>
      <c r="F66" s="133"/>
      <c r="G66" s="133"/>
      <c r="H66" s="133"/>
      <c r="I66" s="133"/>
      <c r="J66" s="133"/>
      <c r="K66" s="129"/>
    </row>
    <row r="67" spans="1:11" ht="19.899999999999999" customHeight="1" x14ac:dyDescent="0.25">
      <c r="A67" s="71" t="s">
        <v>99</v>
      </c>
      <c r="B67" s="16"/>
      <c r="C67" s="133" t="s">
        <v>242</v>
      </c>
      <c r="D67" s="133"/>
      <c r="E67" s="133"/>
      <c r="F67" s="133"/>
      <c r="G67" s="133"/>
      <c r="H67" s="133"/>
      <c r="I67" s="133"/>
      <c r="J67" s="133"/>
      <c r="K67" s="129"/>
    </row>
    <row r="68" spans="1:11" ht="19.899999999999999" customHeight="1" x14ac:dyDescent="0.25">
      <c r="A68" s="71" t="s">
        <v>100</v>
      </c>
      <c r="B68" s="16"/>
      <c r="C68" s="133" t="s">
        <v>243</v>
      </c>
      <c r="D68" s="133"/>
      <c r="E68" s="133"/>
      <c r="F68" s="133"/>
      <c r="G68" s="133"/>
      <c r="H68" s="133"/>
      <c r="I68" s="133"/>
      <c r="J68" s="133"/>
      <c r="K68" s="129"/>
    </row>
    <row r="69" spans="1:11" ht="19.899999999999999" customHeight="1" x14ac:dyDescent="0.25">
      <c r="A69" s="134" t="s">
        <v>101</v>
      </c>
      <c r="B69" s="16" t="s">
        <v>102</v>
      </c>
      <c r="C69" s="33">
        <v>9.6336238450000025</v>
      </c>
      <c r="D69" s="72"/>
      <c r="E69" s="33">
        <v>10.234335913000001</v>
      </c>
      <c r="F69" s="72"/>
      <c r="G69" s="33">
        <v>10.291506681000003</v>
      </c>
      <c r="H69" s="72"/>
      <c r="I69" s="33">
        <v>9.7452589530000022</v>
      </c>
      <c r="J69" s="72"/>
      <c r="K69" s="129"/>
    </row>
    <row r="70" spans="1:11" ht="19.899999999999999" customHeight="1" x14ac:dyDescent="0.25">
      <c r="A70" s="135"/>
      <c r="B70" s="16" t="s">
        <v>103</v>
      </c>
      <c r="C70" s="33">
        <v>13.599010133000002</v>
      </c>
      <c r="D70" s="72"/>
      <c r="E70" s="33">
        <v>13.604605000300001</v>
      </c>
      <c r="F70" s="72"/>
      <c r="G70" s="33">
        <v>13.623674337900002</v>
      </c>
      <c r="H70" s="72"/>
      <c r="I70" s="33">
        <v>13.573770467100001</v>
      </c>
      <c r="J70" s="72"/>
      <c r="K70" s="129"/>
    </row>
    <row r="71" spans="1:11" ht="19.899999999999999" customHeight="1" x14ac:dyDescent="0.25">
      <c r="A71" s="134" t="s">
        <v>104</v>
      </c>
      <c r="B71" s="16" t="s">
        <v>105</v>
      </c>
      <c r="C71" s="33">
        <v>5.8149021175000026</v>
      </c>
      <c r="D71" s="72"/>
      <c r="E71" s="33">
        <v>7.2700566595000016</v>
      </c>
      <c r="F71" s="72"/>
      <c r="G71" s="33">
        <v>7.3246661265000022</v>
      </c>
      <c r="H71" s="72"/>
      <c r="I71" s="33">
        <v>5.9360052945000046</v>
      </c>
      <c r="J71" s="72"/>
      <c r="K71" s="129"/>
    </row>
    <row r="72" spans="1:11" ht="19.899999999999999" customHeight="1" x14ac:dyDescent="0.25">
      <c r="A72" s="135"/>
      <c r="B72" s="16" t="s">
        <v>106</v>
      </c>
      <c r="C72" s="33">
        <v>11.4332430145</v>
      </c>
      <c r="D72" s="72"/>
      <c r="E72" s="33">
        <v>11.446795924450001</v>
      </c>
      <c r="F72" s="72"/>
      <c r="G72" s="33">
        <v>11.46501093885</v>
      </c>
      <c r="H72" s="72"/>
      <c r="I72" s="33">
        <v>11.404138618650002</v>
      </c>
      <c r="J72" s="72"/>
      <c r="K72" s="129"/>
    </row>
    <row r="73" spans="1:11" s="26" customFormat="1" x14ac:dyDescent="0.25">
      <c r="A73" s="136" t="s">
        <v>107</v>
      </c>
      <c r="B73" s="16"/>
      <c r="C73" s="73" t="s">
        <v>108</v>
      </c>
      <c r="D73" s="133" t="s">
        <v>109</v>
      </c>
      <c r="E73" s="73" t="s">
        <v>108</v>
      </c>
      <c r="F73" s="133" t="s">
        <v>109</v>
      </c>
      <c r="G73" s="73" t="s">
        <v>108</v>
      </c>
      <c r="H73" s="133" t="s">
        <v>109</v>
      </c>
      <c r="I73" s="73" t="s">
        <v>108</v>
      </c>
      <c r="J73" s="133" t="s">
        <v>109</v>
      </c>
      <c r="K73" s="129"/>
    </row>
    <row r="74" spans="1:11" s="26" customFormat="1" x14ac:dyDescent="0.25">
      <c r="A74" s="136"/>
      <c r="B74" s="16"/>
      <c r="C74" s="73" t="s">
        <v>110</v>
      </c>
      <c r="D74" s="133"/>
      <c r="E74" s="73" t="s">
        <v>110</v>
      </c>
      <c r="F74" s="133"/>
      <c r="G74" s="73" t="s">
        <v>110</v>
      </c>
      <c r="H74" s="133"/>
      <c r="I74" s="73" t="s">
        <v>110</v>
      </c>
      <c r="J74" s="133"/>
      <c r="K74" s="129"/>
    </row>
    <row r="75" spans="1:11" s="26" customFormat="1" x14ac:dyDescent="0.25">
      <c r="A75" s="136"/>
      <c r="B75" s="16"/>
      <c r="C75" s="73" t="s">
        <v>111</v>
      </c>
      <c r="D75" s="133"/>
      <c r="E75" s="73" t="s">
        <v>111</v>
      </c>
      <c r="F75" s="133"/>
      <c r="G75" s="73" t="s">
        <v>111</v>
      </c>
      <c r="H75" s="133"/>
      <c r="I75" s="73" t="s">
        <v>111</v>
      </c>
      <c r="J75" s="133"/>
      <c r="K75" s="129"/>
    </row>
    <row r="76" spans="1:11" s="26" customFormat="1" x14ac:dyDescent="0.25">
      <c r="A76" s="71" t="s">
        <v>112</v>
      </c>
      <c r="B76" s="16" t="s">
        <v>80</v>
      </c>
      <c r="C76" s="133" t="s">
        <v>244</v>
      </c>
      <c r="D76" s="133"/>
      <c r="E76" s="133"/>
      <c r="F76" s="133"/>
      <c r="G76" s="133"/>
      <c r="H76" s="133"/>
      <c r="I76" s="133"/>
      <c r="J76" s="133"/>
      <c r="K76" s="129"/>
    </row>
    <row r="77" spans="1:11" s="26" customFormat="1" ht="28.5" x14ac:dyDescent="0.25">
      <c r="A77" s="71" t="s">
        <v>113</v>
      </c>
      <c r="B77" s="16" t="s">
        <v>114</v>
      </c>
      <c r="C77" s="73" t="s">
        <v>115</v>
      </c>
      <c r="D77" s="73" t="s">
        <v>116</v>
      </c>
      <c r="E77" s="73" t="s">
        <v>115</v>
      </c>
      <c r="F77" s="73" t="s">
        <v>116</v>
      </c>
      <c r="G77" s="73" t="s">
        <v>115</v>
      </c>
      <c r="H77" s="73" t="s">
        <v>116</v>
      </c>
      <c r="I77" s="73" t="s">
        <v>115</v>
      </c>
      <c r="J77" s="73" t="s">
        <v>116</v>
      </c>
      <c r="K77" s="129"/>
    </row>
    <row r="78" spans="1:11" s="26" customFormat="1" x14ac:dyDescent="0.25">
      <c r="A78" s="136" t="s">
        <v>117</v>
      </c>
      <c r="B78" s="16"/>
      <c r="C78" s="73" t="s">
        <v>118</v>
      </c>
      <c r="D78" s="133" t="s">
        <v>119</v>
      </c>
      <c r="E78" s="73" t="s">
        <v>118</v>
      </c>
      <c r="F78" s="133" t="s">
        <v>119</v>
      </c>
      <c r="G78" s="73" t="s">
        <v>118</v>
      </c>
      <c r="H78" s="133" t="s">
        <v>119</v>
      </c>
      <c r="I78" s="73" t="s">
        <v>118</v>
      </c>
      <c r="J78" s="133" t="s">
        <v>119</v>
      </c>
      <c r="K78" s="129"/>
    </row>
    <row r="79" spans="1:11" s="26" customFormat="1" x14ac:dyDescent="0.25">
      <c r="A79" s="136"/>
      <c r="B79" s="16"/>
      <c r="C79" s="73" t="s">
        <v>120</v>
      </c>
      <c r="D79" s="133"/>
      <c r="E79" s="73" t="s">
        <v>120</v>
      </c>
      <c r="F79" s="133"/>
      <c r="G79" s="73" t="s">
        <v>120</v>
      </c>
      <c r="H79" s="133"/>
      <c r="I79" s="73" t="s">
        <v>120</v>
      </c>
      <c r="J79" s="133"/>
      <c r="K79" s="129"/>
    </row>
    <row r="80" spans="1:11" s="26" customFormat="1" x14ac:dyDescent="0.25">
      <c r="A80" s="136"/>
      <c r="B80" s="16"/>
      <c r="C80" s="73" t="s">
        <v>121</v>
      </c>
      <c r="D80" s="133"/>
      <c r="E80" s="73" t="s">
        <v>121</v>
      </c>
      <c r="F80" s="133"/>
      <c r="G80" s="73" t="s">
        <v>121</v>
      </c>
      <c r="H80" s="133"/>
      <c r="I80" s="73" t="s">
        <v>121</v>
      </c>
      <c r="J80" s="133"/>
      <c r="K80" s="129"/>
    </row>
    <row r="81" spans="1:11" s="26" customFormat="1" ht="28.5" x14ac:dyDescent="0.25">
      <c r="A81" s="71" t="s">
        <v>122</v>
      </c>
      <c r="B81" s="16" t="s">
        <v>123</v>
      </c>
      <c r="C81" s="73" t="s">
        <v>124</v>
      </c>
      <c r="D81" s="73" t="s">
        <v>125</v>
      </c>
      <c r="E81" s="73" t="s">
        <v>124</v>
      </c>
      <c r="F81" s="73" t="s">
        <v>125</v>
      </c>
      <c r="G81" s="73" t="s">
        <v>124</v>
      </c>
      <c r="H81" s="73" t="s">
        <v>125</v>
      </c>
      <c r="I81" s="73" t="s">
        <v>124</v>
      </c>
      <c r="J81" s="73" t="s">
        <v>125</v>
      </c>
      <c r="K81" s="129"/>
    </row>
    <row r="82" spans="1:11" s="26" customFormat="1" x14ac:dyDescent="0.25">
      <c r="A82" s="136" t="s">
        <v>126</v>
      </c>
      <c r="B82" s="16"/>
      <c r="C82" s="73" t="s">
        <v>127</v>
      </c>
      <c r="D82" s="133" t="s">
        <v>128</v>
      </c>
      <c r="E82" s="73" t="s">
        <v>127</v>
      </c>
      <c r="F82" s="133" t="s">
        <v>128</v>
      </c>
      <c r="G82" s="73" t="s">
        <v>127</v>
      </c>
      <c r="H82" s="133" t="s">
        <v>128</v>
      </c>
      <c r="I82" s="73" t="s">
        <v>127</v>
      </c>
      <c r="J82" s="133" t="s">
        <v>128</v>
      </c>
      <c r="K82" s="129"/>
    </row>
    <row r="83" spans="1:11" s="26" customFormat="1" x14ac:dyDescent="0.25">
      <c r="A83" s="136"/>
      <c r="B83" s="16"/>
      <c r="C83" s="73" t="s">
        <v>129</v>
      </c>
      <c r="D83" s="133"/>
      <c r="E83" s="73" t="s">
        <v>129</v>
      </c>
      <c r="F83" s="133"/>
      <c r="G83" s="73" t="s">
        <v>129</v>
      </c>
      <c r="H83" s="133"/>
      <c r="I83" s="73" t="s">
        <v>129</v>
      </c>
      <c r="J83" s="133"/>
      <c r="K83" s="129"/>
    </row>
    <row r="84" spans="1:11" s="26" customFormat="1" x14ac:dyDescent="0.25">
      <c r="A84" s="136"/>
      <c r="B84" s="16"/>
      <c r="C84" s="73" t="s">
        <v>130</v>
      </c>
      <c r="D84" s="133"/>
      <c r="E84" s="73" t="s">
        <v>130</v>
      </c>
      <c r="F84" s="133"/>
      <c r="G84" s="73" t="s">
        <v>130</v>
      </c>
      <c r="H84" s="133"/>
      <c r="I84" s="73" t="s">
        <v>130</v>
      </c>
      <c r="J84" s="133"/>
      <c r="K84" s="129"/>
    </row>
    <row r="85" spans="1:11" s="26" customFormat="1" ht="28.5" x14ac:dyDescent="0.25">
      <c r="A85" s="71" t="s">
        <v>131</v>
      </c>
      <c r="B85" s="16" t="s">
        <v>132</v>
      </c>
      <c r="C85" s="73" t="s">
        <v>133</v>
      </c>
      <c r="D85" s="73" t="s">
        <v>119</v>
      </c>
      <c r="E85" s="73" t="s">
        <v>133</v>
      </c>
      <c r="F85" s="73" t="s">
        <v>119</v>
      </c>
      <c r="G85" s="73" t="s">
        <v>133</v>
      </c>
      <c r="H85" s="73" t="s">
        <v>119</v>
      </c>
      <c r="I85" s="73" t="s">
        <v>133</v>
      </c>
      <c r="J85" s="73" t="s">
        <v>119</v>
      </c>
      <c r="K85" s="129"/>
    </row>
    <row r="86" spans="1:11" s="26" customFormat="1" x14ac:dyDescent="0.25">
      <c r="A86" s="136" t="s">
        <v>134</v>
      </c>
      <c r="B86" s="16"/>
      <c r="C86" s="73" t="s">
        <v>135</v>
      </c>
      <c r="D86" s="133" t="s">
        <v>136</v>
      </c>
      <c r="E86" s="73" t="s">
        <v>135</v>
      </c>
      <c r="F86" s="133" t="s">
        <v>136</v>
      </c>
      <c r="G86" s="73" t="s">
        <v>135</v>
      </c>
      <c r="H86" s="133" t="s">
        <v>136</v>
      </c>
      <c r="I86" s="73" t="s">
        <v>135</v>
      </c>
      <c r="J86" s="133" t="s">
        <v>136</v>
      </c>
      <c r="K86" s="129"/>
    </row>
    <row r="87" spans="1:11" s="26" customFormat="1" x14ac:dyDescent="0.25">
      <c r="A87" s="136"/>
      <c r="B87" s="16"/>
      <c r="C87" s="73" t="s">
        <v>137</v>
      </c>
      <c r="D87" s="133"/>
      <c r="E87" s="73" t="s">
        <v>137</v>
      </c>
      <c r="F87" s="133"/>
      <c r="G87" s="73" t="s">
        <v>137</v>
      </c>
      <c r="H87" s="133"/>
      <c r="I87" s="73" t="s">
        <v>137</v>
      </c>
      <c r="J87" s="133"/>
      <c r="K87" s="129"/>
    </row>
    <row r="88" spans="1:11" s="26" customFormat="1" x14ac:dyDescent="0.25">
      <c r="A88" s="136"/>
      <c r="B88" s="16"/>
      <c r="C88" s="73" t="s">
        <v>138</v>
      </c>
      <c r="D88" s="133"/>
      <c r="E88" s="73" t="s">
        <v>138</v>
      </c>
      <c r="F88" s="133"/>
      <c r="G88" s="73" t="s">
        <v>138</v>
      </c>
      <c r="H88" s="133"/>
      <c r="I88" s="73" t="s">
        <v>138</v>
      </c>
      <c r="J88" s="133"/>
      <c r="K88" s="129"/>
    </row>
    <row r="89" spans="1:11" s="26" customFormat="1" ht="28.5" x14ac:dyDescent="0.25">
      <c r="A89" s="71" t="s">
        <v>139</v>
      </c>
      <c r="B89" s="16" t="s">
        <v>140</v>
      </c>
      <c r="C89" s="73" t="s">
        <v>141</v>
      </c>
      <c r="D89" s="73" t="s">
        <v>119</v>
      </c>
      <c r="E89" s="73" t="s">
        <v>141</v>
      </c>
      <c r="F89" s="73" t="s">
        <v>119</v>
      </c>
      <c r="G89" s="73" t="s">
        <v>141</v>
      </c>
      <c r="H89" s="73" t="s">
        <v>119</v>
      </c>
      <c r="I89" s="73" t="s">
        <v>141</v>
      </c>
      <c r="J89" s="73" t="s">
        <v>119</v>
      </c>
      <c r="K89" s="129"/>
    </row>
    <row r="90" spans="1:11" s="26" customFormat="1" x14ac:dyDescent="0.25">
      <c r="A90" s="71" t="s">
        <v>142</v>
      </c>
      <c r="B90" s="16"/>
      <c r="C90" s="73">
        <v>4</v>
      </c>
      <c r="D90" s="73">
        <v>1</v>
      </c>
      <c r="E90" s="73">
        <v>4</v>
      </c>
      <c r="F90" s="73">
        <v>1</v>
      </c>
      <c r="G90" s="73">
        <v>4</v>
      </c>
      <c r="H90" s="73">
        <v>1</v>
      </c>
      <c r="I90" s="73">
        <v>4</v>
      </c>
      <c r="J90" s="73">
        <v>1</v>
      </c>
      <c r="K90" s="129"/>
    </row>
    <row r="91" spans="1:11" s="26" customFormat="1" x14ac:dyDescent="0.25">
      <c r="A91" s="71" t="s">
        <v>143</v>
      </c>
      <c r="B91" s="16"/>
      <c r="C91" s="64">
        <v>6</v>
      </c>
      <c r="D91" s="73">
        <v>1</v>
      </c>
      <c r="E91" s="64">
        <v>6</v>
      </c>
      <c r="F91" s="73">
        <v>1</v>
      </c>
      <c r="G91" s="64">
        <v>6</v>
      </c>
      <c r="H91" s="73">
        <v>1</v>
      </c>
      <c r="I91" s="64">
        <v>6</v>
      </c>
      <c r="J91" s="73">
        <v>1</v>
      </c>
      <c r="K91" s="129"/>
    </row>
    <row r="92" spans="1:11" s="26" customFormat="1" x14ac:dyDescent="0.25">
      <c r="A92" s="71" t="s">
        <v>144</v>
      </c>
      <c r="B92" s="16"/>
      <c r="C92" s="72">
        <v>8</v>
      </c>
      <c r="D92" s="73">
        <v>1</v>
      </c>
      <c r="E92" s="72">
        <v>8</v>
      </c>
      <c r="F92" s="73">
        <v>1</v>
      </c>
      <c r="G92" s="72">
        <v>8</v>
      </c>
      <c r="H92" s="73">
        <v>1</v>
      </c>
      <c r="I92" s="72">
        <v>8</v>
      </c>
      <c r="J92" s="73">
        <v>1</v>
      </c>
      <c r="K92" s="129"/>
    </row>
    <row r="93" spans="1:11" s="26" customFormat="1" x14ac:dyDescent="0.25">
      <c r="A93" s="71" t="s">
        <v>145</v>
      </c>
      <c r="B93" s="16" t="s">
        <v>146</v>
      </c>
      <c r="C93" s="64" t="s">
        <v>115</v>
      </c>
      <c r="D93" s="72" t="s">
        <v>116</v>
      </c>
      <c r="E93" s="64" t="s">
        <v>115</v>
      </c>
      <c r="F93" s="72" t="s">
        <v>116</v>
      </c>
      <c r="G93" s="64" t="s">
        <v>115</v>
      </c>
      <c r="H93" s="72" t="s">
        <v>116</v>
      </c>
      <c r="I93" s="64" t="s">
        <v>115</v>
      </c>
      <c r="J93" s="72" t="s">
        <v>116</v>
      </c>
      <c r="K93" s="129"/>
    </row>
    <row r="94" spans="1:11" s="26" customFormat="1" x14ac:dyDescent="0.25">
      <c r="A94" s="136" t="s">
        <v>147</v>
      </c>
      <c r="B94" s="16"/>
      <c r="C94" s="72" t="s">
        <v>148</v>
      </c>
      <c r="D94" s="138" t="s">
        <v>119</v>
      </c>
      <c r="E94" s="72" t="s">
        <v>148</v>
      </c>
      <c r="F94" s="138" t="s">
        <v>119</v>
      </c>
      <c r="G94" s="72" t="s">
        <v>148</v>
      </c>
      <c r="H94" s="138" t="s">
        <v>119</v>
      </c>
      <c r="I94" s="72" t="s">
        <v>148</v>
      </c>
      <c r="J94" s="138" t="s">
        <v>119</v>
      </c>
      <c r="K94" s="129"/>
    </row>
    <row r="95" spans="1:11" s="26" customFormat="1" ht="15" customHeight="1" x14ac:dyDescent="0.25">
      <c r="A95" s="136"/>
      <c r="B95" s="16"/>
      <c r="C95" s="64" t="s">
        <v>149</v>
      </c>
      <c r="D95" s="138"/>
      <c r="E95" s="64" t="s">
        <v>149</v>
      </c>
      <c r="F95" s="138"/>
      <c r="G95" s="64" t="s">
        <v>149</v>
      </c>
      <c r="H95" s="138"/>
      <c r="I95" s="64" t="s">
        <v>149</v>
      </c>
      <c r="J95" s="138"/>
      <c r="K95" s="129"/>
    </row>
    <row r="96" spans="1:11" s="26" customFormat="1" x14ac:dyDescent="0.25">
      <c r="A96" s="136"/>
      <c r="B96" s="16"/>
      <c r="C96" s="72" t="s">
        <v>150</v>
      </c>
      <c r="D96" s="138"/>
      <c r="E96" s="72" t="s">
        <v>150</v>
      </c>
      <c r="F96" s="138"/>
      <c r="G96" s="72" t="s">
        <v>150</v>
      </c>
      <c r="H96" s="138"/>
      <c r="I96" s="72" t="s">
        <v>150</v>
      </c>
      <c r="J96" s="138"/>
      <c r="K96" s="129"/>
    </row>
    <row r="97" spans="1:11" s="26" customFormat="1" x14ac:dyDescent="0.25">
      <c r="A97" s="71" t="s">
        <v>151</v>
      </c>
      <c r="B97" s="16" t="s">
        <v>152</v>
      </c>
      <c r="C97" s="64" t="s">
        <v>115</v>
      </c>
      <c r="D97" s="72" t="s">
        <v>116</v>
      </c>
      <c r="E97" s="64" t="s">
        <v>115</v>
      </c>
      <c r="F97" s="72" t="s">
        <v>116</v>
      </c>
      <c r="G97" s="64" t="s">
        <v>115</v>
      </c>
      <c r="H97" s="72" t="s">
        <v>116</v>
      </c>
      <c r="I97" s="64" t="s">
        <v>115</v>
      </c>
      <c r="J97" s="72" t="s">
        <v>116</v>
      </c>
      <c r="K97" s="129"/>
    </row>
    <row r="98" spans="1:11" s="26" customFormat="1" x14ac:dyDescent="0.25">
      <c r="A98" s="136" t="s">
        <v>153</v>
      </c>
      <c r="B98" s="16"/>
      <c r="C98" s="72" t="s">
        <v>154</v>
      </c>
      <c r="D98" s="138" t="s">
        <v>128</v>
      </c>
      <c r="E98" s="72" t="s">
        <v>154</v>
      </c>
      <c r="F98" s="138" t="s">
        <v>128</v>
      </c>
      <c r="G98" s="72" t="s">
        <v>154</v>
      </c>
      <c r="H98" s="138" t="s">
        <v>128</v>
      </c>
      <c r="I98" s="15" t="s">
        <v>154</v>
      </c>
      <c r="J98" s="138" t="s">
        <v>128</v>
      </c>
      <c r="K98" s="129"/>
    </row>
    <row r="99" spans="1:11" s="26" customFormat="1" ht="15" customHeight="1" x14ac:dyDescent="0.25">
      <c r="A99" s="136"/>
      <c r="B99" s="16"/>
      <c r="C99" s="64" t="s">
        <v>155</v>
      </c>
      <c r="D99" s="138"/>
      <c r="E99" s="64" t="s">
        <v>155</v>
      </c>
      <c r="F99" s="138"/>
      <c r="G99" s="64" t="s">
        <v>155</v>
      </c>
      <c r="H99" s="138"/>
      <c r="I99" s="64" t="s">
        <v>155</v>
      </c>
      <c r="J99" s="138"/>
      <c r="K99" s="129"/>
    </row>
    <row r="100" spans="1:11" s="26" customFormat="1" x14ac:dyDescent="0.25">
      <c r="A100" s="136"/>
      <c r="B100" s="16"/>
      <c r="C100" s="72" t="s">
        <v>156</v>
      </c>
      <c r="D100" s="138"/>
      <c r="E100" s="72" t="s">
        <v>156</v>
      </c>
      <c r="F100" s="138"/>
      <c r="G100" s="72" t="s">
        <v>156</v>
      </c>
      <c r="H100" s="138"/>
      <c r="I100" s="72" t="s">
        <v>156</v>
      </c>
      <c r="J100" s="138"/>
      <c r="K100" s="129"/>
    </row>
    <row r="101" spans="1:11" s="26" customFormat="1" x14ac:dyDescent="0.25">
      <c r="A101" s="71" t="s">
        <v>157</v>
      </c>
      <c r="B101" s="16" t="s">
        <v>158</v>
      </c>
      <c r="C101" s="72" t="s">
        <v>133</v>
      </c>
      <c r="D101" s="72" t="s">
        <v>119</v>
      </c>
      <c r="E101" s="72" t="s">
        <v>133</v>
      </c>
      <c r="F101" s="72" t="s">
        <v>119</v>
      </c>
      <c r="G101" s="72" t="s">
        <v>133</v>
      </c>
      <c r="H101" s="72" t="s">
        <v>119</v>
      </c>
      <c r="I101" s="72" t="s">
        <v>133</v>
      </c>
      <c r="J101" s="72" t="s">
        <v>119</v>
      </c>
      <c r="K101" s="129"/>
    </row>
    <row r="102" spans="1:11" s="26" customFormat="1" x14ac:dyDescent="0.25">
      <c r="A102" s="136" t="s">
        <v>159</v>
      </c>
      <c r="B102" s="16"/>
      <c r="C102" s="64" t="s">
        <v>160</v>
      </c>
      <c r="D102" s="138" t="s">
        <v>136</v>
      </c>
      <c r="E102" s="64" t="s">
        <v>160</v>
      </c>
      <c r="F102" s="138" t="s">
        <v>136</v>
      </c>
      <c r="G102" s="64" t="s">
        <v>160</v>
      </c>
      <c r="H102" s="138" t="s">
        <v>136</v>
      </c>
      <c r="I102" s="64" t="s">
        <v>160</v>
      </c>
      <c r="J102" s="138" t="s">
        <v>136</v>
      </c>
      <c r="K102" s="129"/>
    </row>
    <row r="103" spans="1:11" s="26" customFormat="1" ht="15" customHeight="1" x14ac:dyDescent="0.25">
      <c r="A103" s="136"/>
      <c r="B103" s="16"/>
      <c r="C103" s="72" t="s">
        <v>161</v>
      </c>
      <c r="D103" s="138"/>
      <c r="E103" s="72" t="s">
        <v>161</v>
      </c>
      <c r="F103" s="138"/>
      <c r="G103" s="72" t="s">
        <v>161</v>
      </c>
      <c r="H103" s="138"/>
      <c r="I103" s="72" t="s">
        <v>161</v>
      </c>
      <c r="J103" s="138"/>
      <c r="K103" s="129"/>
    </row>
    <row r="104" spans="1:11" s="26" customFormat="1" x14ac:dyDescent="0.25">
      <c r="A104" s="136"/>
      <c r="B104" s="16"/>
      <c r="C104" s="64" t="s">
        <v>162</v>
      </c>
      <c r="D104" s="138"/>
      <c r="E104" s="64" t="s">
        <v>162</v>
      </c>
      <c r="F104" s="138"/>
      <c r="G104" s="64" t="s">
        <v>162</v>
      </c>
      <c r="H104" s="138"/>
      <c r="I104" s="64" t="s">
        <v>162</v>
      </c>
      <c r="J104" s="138"/>
      <c r="K104" s="129"/>
    </row>
    <row r="105" spans="1:11" s="26" customFormat="1" ht="15" thickBot="1" x14ac:dyDescent="0.3">
      <c r="A105" s="65" t="s">
        <v>163</v>
      </c>
      <c r="B105" s="16" t="s">
        <v>164</v>
      </c>
      <c r="C105" s="10" t="s">
        <v>165</v>
      </c>
      <c r="D105" s="10" t="s">
        <v>119</v>
      </c>
      <c r="E105" s="10" t="s">
        <v>165</v>
      </c>
      <c r="F105" s="10" t="s">
        <v>119</v>
      </c>
      <c r="G105" s="10" t="s">
        <v>165</v>
      </c>
      <c r="H105" s="10" t="s">
        <v>119</v>
      </c>
      <c r="I105" s="10" t="s">
        <v>165</v>
      </c>
      <c r="J105" s="10" t="s">
        <v>119</v>
      </c>
      <c r="K105" s="130"/>
    </row>
    <row r="106" spans="1:11" ht="15" thickBot="1" x14ac:dyDescent="0.3">
      <c r="A106" s="116" t="s">
        <v>166</v>
      </c>
      <c r="B106" s="117"/>
      <c r="C106" s="117"/>
      <c r="D106" s="117"/>
      <c r="E106" s="117"/>
      <c r="F106" s="117"/>
      <c r="G106" s="117"/>
      <c r="H106" s="117"/>
      <c r="I106" s="117"/>
      <c r="J106" s="117"/>
      <c r="K106" s="118"/>
    </row>
    <row r="107" spans="1:11" ht="42.75" x14ac:dyDescent="0.25">
      <c r="A107" s="34" t="s">
        <v>167</v>
      </c>
      <c r="B107" s="14" t="s">
        <v>168</v>
      </c>
      <c r="C107" s="35">
        <f>748.1-103</f>
        <v>645.1</v>
      </c>
      <c r="D107" s="35">
        <f>(645/748)*25.5</f>
        <v>21.988636363636363</v>
      </c>
      <c r="E107" s="35">
        <f>831.2-142</f>
        <v>689.2</v>
      </c>
      <c r="F107" s="35">
        <f>(689.2/831.2)*27.1</f>
        <v>22.470307988450436</v>
      </c>
      <c r="G107" s="35">
        <f>738.5-130</f>
        <v>608.5</v>
      </c>
      <c r="H107" s="35">
        <f>(608/738)*27.1</f>
        <v>22.326287262872633</v>
      </c>
      <c r="I107" s="35">
        <f>836.8-130</f>
        <v>706.8</v>
      </c>
      <c r="J107" s="35">
        <f>(706/836)*21.6</f>
        <v>18.241148325358854</v>
      </c>
    </row>
    <row r="108" spans="1:11" ht="42.75" x14ac:dyDescent="0.25">
      <c r="A108" s="34" t="s">
        <v>169</v>
      </c>
      <c r="B108" s="14"/>
      <c r="C108" s="35">
        <f>706.9-94</f>
        <v>612.9</v>
      </c>
      <c r="D108" s="35">
        <f>(612/706)*35.7</f>
        <v>30.946742209631729</v>
      </c>
      <c r="E108" s="35">
        <f>791.3-130</f>
        <v>661.3</v>
      </c>
      <c r="F108" s="35">
        <f>661/791*30.9</f>
        <v>25.821618204804043</v>
      </c>
      <c r="G108" s="35">
        <f>742.6-134</f>
        <v>608.6</v>
      </c>
      <c r="H108" s="35">
        <f>608/742*34.1</f>
        <v>27.94177897574124</v>
      </c>
      <c r="I108" s="35">
        <f>765.6-114</f>
        <v>651.6</v>
      </c>
      <c r="J108" s="35">
        <f>651/765*33.7</f>
        <v>28.678039215686276</v>
      </c>
    </row>
    <row r="109" spans="1:11" ht="42.75" x14ac:dyDescent="0.25">
      <c r="A109" s="28" t="s">
        <v>170</v>
      </c>
      <c r="B109" s="36"/>
      <c r="C109" s="72">
        <v>1227.82</v>
      </c>
      <c r="D109" s="72">
        <v>32.5</v>
      </c>
      <c r="E109" s="72">
        <v>1343.43</v>
      </c>
      <c r="F109" s="72">
        <v>35.25</v>
      </c>
      <c r="G109" s="72">
        <v>1208.48</v>
      </c>
      <c r="H109" s="72">
        <v>35.880000000000003</v>
      </c>
      <c r="I109" s="72">
        <v>1364.12</v>
      </c>
      <c r="J109" s="72">
        <v>31</v>
      </c>
    </row>
    <row r="110" spans="1:11" ht="42.75" x14ac:dyDescent="0.2">
      <c r="A110" s="28" t="s">
        <v>171</v>
      </c>
      <c r="B110" s="14" t="s">
        <v>172</v>
      </c>
      <c r="C110" s="37">
        <v>1315.69</v>
      </c>
      <c r="D110" s="37">
        <v>34.090000000000003</v>
      </c>
      <c r="E110" s="37">
        <v>1442.09</v>
      </c>
      <c r="F110" s="37">
        <v>37.18</v>
      </c>
      <c r="G110" s="37">
        <v>1298.95</v>
      </c>
      <c r="H110" s="37">
        <v>37.93</v>
      </c>
      <c r="I110" s="37">
        <v>1463.23</v>
      </c>
      <c r="J110" s="37">
        <v>32.92</v>
      </c>
    </row>
    <row r="111" spans="1:11" x14ac:dyDescent="0.25">
      <c r="A111" s="28" t="s">
        <v>173</v>
      </c>
      <c r="B111" s="36" t="s">
        <v>174</v>
      </c>
      <c r="C111" s="15">
        <v>0.48</v>
      </c>
      <c r="D111" s="15" t="s">
        <v>39</v>
      </c>
      <c r="E111" s="15">
        <v>0.63</v>
      </c>
      <c r="F111" s="15" t="s">
        <v>39</v>
      </c>
      <c r="G111" s="15">
        <v>0.43</v>
      </c>
      <c r="H111" s="15" t="s">
        <v>238</v>
      </c>
      <c r="I111" s="15">
        <v>0.53</v>
      </c>
      <c r="J111" s="15" t="s">
        <v>238</v>
      </c>
    </row>
    <row r="112" spans="1:11" ht="42.75" x14ac:dyDescent="0.25">
      <c r="A112" s="28" t="s">
        <v>175</v>
      </c>
      <c r="B112" s="14" t="s">
        <v>176</v>
      </c>
      <c r="C112" s="38">
        <v>212.97588300000001</v>
      </c>
      <c r="D112" s="38">
        <v>17.344389234000001</v>
      </c>
      <c r="E112" s="38">
        <v>196.74610200000001</v>
      </c>
      <c r="F112" s="38">
        <v>14.867080874999999</v>
      </c>
      <c r="G112" s="38">
        <v>188.91823500000001</v>
      </c>
      <c r="H112" s="38">
        <v>14.368794502</v>
      </c>
      <c r="I112" s="38">
        <v>206.15255550000001</v>
      </c>
      <c r="J112" s="38">
        <v>27.373424523000001</v>
      </c>
    </row>
    <row r="113" spans="1:11" ht="42.75" x14ac:dyDescent="0.25">
      <c r="A113" s="28" t="s">
        <v>177</v>
      </c>
      <c r="B113" s="36"/>
      <c r="C113" s="38">
        <v>390.61305340000001</v>
      </c>
      <c r="D113" s="38">
        <v>32.856828262000001</v>
      </c>
      <c r="E113" s="38">
        <v>384.00511920999998</v>
      </c>
      <c r="F113" s="38">
        <v>28.389894797</v>
      </c>
      <c r="G113" s="38">
        <v>398.55974043999998</v>
      </c>
      <c r="H113" s="38">
        <v>30.147075219000001</v>
      </c>
      <c r="I113" s="38">
        <v>374.27840049999998</v>
      </c>
      <c r="J113" s="38">
        <v>35.146397497000002</v>
      </c>
    </row>
    <row r="114" spans="1:11" ht="42.75" x14ac:dyDescent="0.25">
      <c r="A114" s="28" t="s">
        <v>178</v>
      </c>
      <c r="B114" s="14" t="s">
        <v>179</v>
      </c>
      <c r="C114" s="25">
        <v>542.63410050000005</v>
      </c>
      <c r="D114" s="25">
        <v>31.028546800000001</v>
      </c>
      <c r="E114" s="25">
        <v>553.63363279999999</v>
      </c>
      <c r="F114" s="25">
        <v>22.687528740000001</v>
      </c>
      <c r="G114" s="25">
        <v>545.38690129999998</v>
      </c>
      <c r="H114" s="25">
        <v>24.85122526</v>
      </c>
      <c r="I114" s="25">
        <v>567.39492900000005</v>
      </c>
      <c r="J114" s="25">
        <v>31.73718178</v>
      </c>
    </row>
    <row r="115" spans="1:11" ht="42.75" x14ac:dyDescent="0.25">
      <c r="A115" s="28" t="s">
        <v>180</v>
      </c>
      <c r="B115" s="36"/>
      <c r="C115" s="38">
        <v>184.53533400000001</v>
      </c>
      <c r="D115" s="38">
        <v>33.639978077000002</v>
      </c>
      <c r="E115" s="38">
        <v>219.4968825</v>
      </c>
      <c r="F115" s="38">
        <v>21.879757558000001</v>
      </c>
      <c r="G115" s="38">
        <v>196.30304100000001</v>
      </c>
      <c r="H115" s="38">
        <v>32.154623029</v>
      </c>
      <c r="I115" s="38">
        <v>227.24510624999999</v>
      </c>
      <c r="J115" s="38">
        <v>22.377428894000001</v>
      </c>
    </row>
    <row r="116" spans="1:11" ht="42.75" x14ac:dyDescent="0.25">
      <c r="A116" s="28" t="s">
        <v>181</v>
      </c>
      <c r="B116" s="36"/>
      <c r="C116" s="38">
        <v>445.59743342000002</v>
      </c>
      <c r="D116" s="38">
        <v>79.606189888000003</v>
      </c>
      <c r="E116" s="38">
        <v>478.82852245999999</v>
      </c>
      <c r="F116" s="38">
        <v>67.990051414000007</v>
      </c>
      <c r="G116" s="38">
        <v>389.21458632999997</v>
      </c>
      <c r="H116" s="38">
        <v>63.963058396000001</v>
      </c>
      <c r="I116" s="38">
        <v>519.76440945000002</v>
      </c>
      <c r="J116" s="38">
        <v>88.061172580999994</v>
      </c>
    </row>
    <row r="117" spans="1:11" ht="42.75" x14ac:dyDescent="0.25">
      <c r="A117" s="28" t="s">
        <v>182</v>
      </c>
      <c r="C117" s="25">
        <v>611.68735043000004</v>
      </c>
      <c r="D117" s="25">
        <v>18.157201781000001</v>
      </c>
      <c r="E117" s="25">
        <v>682.67427350000003</v>
      </c>
      <c r="F117" s="25">
        <v>29.806198169000002</v>
      </c>
      <c r="G117" s="25">
        <v>628.43965811999999</v>
      </c>
      <c r="H117" s="25">
        <v>23.251859295999999</v>
      </c>
      <c r="I117" s="25">
        <v>674.36982906000003</v>
      </c>
      <c r="J117" s="25">
        <v>23.1530168</v>
      </c>
    </row>
    <row r="118" spans="1:11" ht="42.75" x14ac:dyDescent="0.25">
      <c r="A118" s="71" t="s">
        <v>183</v>
      </c>
      <c r="B118" s="16"/>
      <c r="C118" s="72">
        <v>70</v>
      </c>
      <c r="D118" s="72" t="s">
        <v>39</v>
      </c>
      <c r="E118" s="72">
        <v>70</v>
      </c>
      <c r="F118" s="72" t="s">
        <v>39</v>
      </c>
      <c r="G118" s="72">
        <v>70</v>
      </c>
      <c r="H118" s="72" t="s">
        <v>238</v>
      </c>
      <c r="I118" s="72">
        <v>70</v>
      </c>
      <c r="J118" s="72" t="s">
        <v>39</v>
      </c>
    </row>
    <row r="119" spans="1:11" x14ac:dyDescent="0.25">
      <c r="A119" s="71" t="s">
        <v>184</v>
      </c>
      <c r="B119" s="16"/>
      <c r="C119" s="39">
        <v>-280.43516929999998</v>
      </c>
      <c r="D119" s="38">
        <v>38.690250577999997</v>
      </c>
      <c r="E119" s="39">
        <v>-248.58081899999999</v>
      </c>
      <c r="F119" s="38">
        <v>17.341517389</v>
      </c>
      <c r="G119" s="39">
        <v>-235.3825688</v>
      </c>
      <c r="H119" s="38">
        <v>22.608995686</v>
      </c>
      <c r="I119" s="39">
        <v>-245.8093365</v>
      </c>
      <c r="J119" s="38">
        <v>17.663851659999999</v>
      </c>
    </row>
    <row r="120" spans="1:11" ht="28.5" x14ac:dyDescent="0.25">
      <c r="A120" s="71" t="s">
        <v>185</v>
      </c>
      <c r="B120" s="16"/>
      <c r="C120" s="39">
        <v>-121.55526450000001</v>
      </c>
      <c r="D120" s="38">
        <v>40.654580803000002</v>
      </c>
      <c r="E120" s="39">
        <v>-138.68612999999999</v>
      </c>
      <c r="F120" s="38">
        <v>16.317845522999999</v>
      </c>
      <c r="G120" s="39">
        <v>-123.6552727</v>
      </c>
      <c r="H120" s="38">
        <v>26.545561597999999</v>
      </c>
      <c r="I120" s="39">
        <v>-130.5567045</v>
      </c>
      <c r="J120" s="38">
        <v>19.868999609999999</v>
      </c>
    </row>
    <row r="121" spans="1:11" ht="28.5" x14ac:dyDescent="0.25">
      <c r="A121" s="71" t="s">
        <v>186</v>
      </c>
      <c r="B121" s="16"/>
      <c r="C121" s="39">
        <v>1010.399031</v>
      </c>
      <c r="D121" s="38">
        <v>159.07585173999999</v>
      </c>
      <c r="E121" s="39">
        <v>889.34240850000003</v>
      </c>
      <c r="F121" s="38">
        <v>31.843806775000001</v>
      </c>
      <c r="G121" s="39">
        <v>1058.374423</v>
      </c>
      <c r="H121" s="38">
        <v>164.43016320999999</v>
      </c>
      <c r="I121" s="39">
        <v>906.24262150000004</v>
      </c>
      <c r="J121" s="38">
        <v>38.795456129999998</v>
      </c>
    </row>
    <row r="122" spans="1:11" x14ac:dyDescent="0.25">
      <c r="A122" s="71" t="s">
        <v>187</v>
      </c>
      <c r="B122" s="16"/>
      <c r="C122" s="39">
        <v>4363.5629357999997</v>
      </c>
      <c r="D122" s="38">
        <v>83.715078872999996</v>
      </c>
      <c r="E122" s="39">
        <v>4235.6185477999998</v>
      </c>
      <c r="F122" s="38">
        <v>63.173604574999999</v>
      </c>
      <c r="G122" s="39">
        <v>4376.9741879000003</v>
      </c>
      <c r="H122" s="38">
        <v>103.64143519</v>
      </c>
      <c r="I122" s="39">
        <v>4223.8350916999998</v>
      </c>
      <c r="J122" s="38">
        <v>79.058174249000004</v>
      </c>
    </row>
    <row r="123" spans="1:11" x14ac:dyDescent="0.25">
      <c r="A123" s="71" t="s">
        <v>188</v>
      </c>
      <c r="B123" s="16"/>
      <c r="C123" s="39">
        <v>-137.2106565</v>
      </c>
      <c r="D123" s="38">
        <v>34.380809681999999</v>
      </c>
      <c r="E123" s="39">
        <v>-163.1373773</v>
      </c>
      <c r="F123" s="38">
        <v>28.703881439</v>
      </c>
      <c r="G123" s="39">
        <v>-114.66439200000001</v>
      </c>
      <c r="H123" s="38">
        <v>38.532280383</v>
      </c>
      <c r="I123" s="39">
        <v>-136.90991030000001</v>
      </c>
      <c r="J123" s="38">
        <v>28.834973051999999</v>
      </c>
    </row>
    <row r="124" spans="1:11" x14ac:dyDescent="0.25">
      <c r="A124" s="71" t="s">
        <v>189</v>
      </c>
      <c r="B124" s="16"/>
      <c r="C124" s="39">
        <v>-167.83543119999999</v>
      </c>
      <c r="D124" s="38">
        <v>24.237773994000001</v>
      </c>
      <c r="E124" s="39">
        <v>-167.56542229999999</v>
      </c>
      <c r="F124" s="38">
        <v>16.744857088</v>
      </c>
      <c r="G124" s="39">
        <v>-139.3446083</v>
      </c>
      <c r="H124" s="38">
        <v>25.827906806000001</v>
      </c>
      <c r="I124" s="39">
        <v>-144.42040130000001</v>
      </c>
      <c r="J124" s="38">
        <v>19.312995588</v>
      </c>
    </row>
    <row r="125" spans="1:11" ht="28.5" x14ac:dyDescent="0.25">
      <c r="A125" s="71" t="s">
        <v>190</v>
      </c>
      <c r="B125" s="16"/>
      <c r="C125" s="39">
        <v>-114.67516500000001</v>
      </c>
      <c r="D125" s="38">
        <v>14.299780932999999</v>
      </c>
      <c r="E125" s="39">
        <v>-124.91186620000001</v>
      </c>
      <c r="F125" s="38">
        <v>13.061922490000001</v>
      </c>
      <c r="G125" s="39">
        <v>-112.897791</v>
      </c>
      <c r="H125" s="38">
        <v>14.861733281999999</v>
      </c>
      <c r="I125" s="39">
        <v>-108.0641768</v>
      </c>
      <c r="J125" s="38">
        <v>19.440501381000001</v>
      </c>
    </row>
    <row r="126" spans="1:11" x14ac:dyDescent="0.25">
      <c r="A126" s="71" t="s">
        <v>191</v>
      </c>
      <c r="B126" s="16"/>
      <c r="C126" s="40">
        <v>146.28822966000001</v>
      </c>
      <c r="D126" s="25">
        <v>46.513972371000001</v>
      </c>
      <c r="E126" s="40">
        <v>101.53284407</v>
      </c>
      <c r="F126" s="25">
        <v>6.5989592819</v>
      </c>
      <c r="G126" s="40">
        <v>182.15620423999999</v>
      </c>
      <c r="H126" s="25">
        <v>43.268924605000002</v>
      </c>
      <c r="I126" s="40">
        <v>104.40699660999999</v>
      </c>
      <c r="J126" s="25">
        <v>10.559285282999999</v>
      </c>
    </row>
    <row r="127" spans="1:11" ht="29.25" thickBot="1" x14ac:dyDescent="0.3">
      <c r="A127" s="65" t="s">
        <v>192</v>
      </c>
      <c r="B127" s="67"/>
      <c r="C127" s="41">
        <v>-361.39276799999999</v>
      </c>
      <c r="D127" s="41">
        <v>189.88403159999999</v>
      </c>
      <c r="E127" s="41">
        <v>-127.77385049999999</v>
      </c>
      <c r="F127" s="41">
        <v>39.695291662000002</v>
      </c>
      <c r="G127" s="41">
        <v>-463.37708249999997</v>
      </c>
      <c r="H127" s="41">
        <v>174.39315121000001</v>
      </c>
      <c r="I127" s="41">
        <v>-172.55400520000001</v>
      </c>
      <c r="J127" s="41">
        <v>56.522995053999999</v>
      </c>
    </row>
    <row r="128" spans="1:11" ht="15" thickBot="1" x14ac:dyDescent="0.3">
      <c r="A128" s="116" t="s">
        <v>193</v>
      </c>
      <c r="B128" s="117"/>
      <c r="C128" s="117"/>
      <c r="D128" s="117"/>
      <c r="E128" s="117"/>
      <c r="F128" s="117"/>
      <c r="G128" s="117"/>
      <c r="H128" s="117"/>
      <c r="I128" s="117"/>
      <c r="J128" s="117"/>
      <c r="K128" s="118"/>
    </row>
    <row r="129" spans="1:11" ht="57" x14ac:dyDescent="0.25">
      <c r="A129" s="66" t="s">
        <v>194</v>
      </c>
      <c r="B129" s="68" t="s">
        <v>195</v>
      </c>
      <c r="C129" s="70" t="s">
        <v>245</v>
      </c>
      <c r="D129" s="70" t="s">
        <v>246</v>
      </c>
      <c r="E129" s="139"/>
      <c r="F129" s="139"/>
      <c r="G129" s="139"/>
      <c r="H129" s="139"/>
      <c r="I129" s="139"/>
      <c r="J129" s="139"/>
      <c r="K129" s="63" t="s">
        <v>196</v>
      </c>
    </row>
    <row r="130" spans="1:11" ht="30" x14ac:dyDescent="0.25">
      <c r="A130" s="32" t="s">
        <v>197</v>
      </c>
      <c r="B130" s="16" t="s">
        <v>198</v>
      </c>
      <c r="C130" s="137" t="s">
        <v>247</v>
      </c>
      <c r="D130" s="137"/>
      <c r="E130" s="137"/>
      <c r="F130" s="137"/>
      <c r="G130" s="137"/>
      <c r="H130" s="137"/>
      <c r="I130" s="137"/>
      <c r="J130" s="137"/>
      <c r="K130" s="42" t="s">
        <v>199</v>
      </c>
    </row>
    <row r="131" spans="1:11" ht="36" customHeight="1" x14ac:dyDescent="0.25">
      <c r="A131" s="111" t="s">
        <v>200</v>
      </c>
      <c r="B131" s="71"/>
      <c r="C131" s="64" t="s">
        <v>248</v>
      </c>
      <c r="D131" s="64" t="s">
        <v>248</v>
      </c>
      <c r="E131" s="64" t="s">
        <v>201</v>
      </c>
      <c r="F131" s="64" t="s">
        <v>201</v>
      </c>
      <c r="G131" s="64" t="s">
        <v>201</v>
      </c>
      <c r="H131" s="64" t="s">
        <v>201</v>
      </c>
      <c r="I131" s="64" t="s">
        <v>249</v>
      </c>
      <c r="J131" s="64" t="s">
        <v>249</v>
      </c>
      <c r="K131" s="140" t="s">
        <v>202</v>
      </c>
    </row>
    <row r="132" spans="1:11" ht="55.5" customHeight="1" x14ac:dyDescent="0.25">
      <c r="A132" s="113"/>
      <c r="B132" s="68" t="s">
        <v>203</v>
      </c>
      <c r="C132" s="43">
        <v>15.238049999999999</v>
      </c>
      <c r="D132" s="43">
        <v>1.1305649999999998</v>
      </c>
      <c r="E132" s="43">
        <v>11.11135</v>
      </c>
      <c r="F132" s="43">
        <v>0.32349500000000003</v>
      </c>
      <c r="G132" s="43">
        <v>11.11135</v>
      </c>
      <c r="H132" s="43">
        <v>0.32349500000000003</v>
      </c>
      <c r="I132" s="43">
        <v>14.833500000000003</v>
      </c>
      <c r="J132" s="43">
        <v>1.1005500000000001</v>
      </c>
      <c r="K132" s="141"/>
    </row>
    <row r="133" spans="1:11" ht="30" x14ac:dyDescent="0.25">
      <c r="A133" s="71" t="s">
        <v>204</v>
      </c>
      <c r="B133" s="16" t="s">
        <v>205</v>
      </c>
      <c r="C133" s="137" t="s">
        <v>250</v>
      </c>
      <c r="D133" s="137"/>
      <c r="E133" s="137"/>
      <c r="F133" s="137"/>
      <c r="G133" s="137"/>
      <c r="H133" s="137"/>
      <c r="I133" s="137"/>
      <c r="J133" s="137"/>
      <c r="K133" s="42" t="s">
        <v>206</v>
      </c>
    </row>
    <row r="134" spans="1:11" ht="29.45" customHeight="1" x14ac:dyDescent="0.25">
      <c r="A134" s="146" t="s">
        <v>207</v>
      </c>
      <c r="B134" s="71"/>
      <c r="C134" s="64" t="s">
        <v>208</v>
      </c>
      <c r="D134" s="64" t="s">
        <v>208</v>
      </c>
      <c r="E134" s="64" t="s">
        <v>208</v>
      </c>
      <c r="F134" s="64" t="s">
        <v>208</v>
      </c>
      <c r="G134" s="64" t="s">
        <v>251</v>
      </c>
      <c r="H134" s="64" t="s">
        <v>251</v>
      </c>
      <c r="I134" s="64" t="s">
        <v>251</v>
      </c>
      <c r="J134" s="64" t="s">
        <v>251</v>
      </c>
      <c r="K134" s="140" t="s">
        <v>202</v>
      </c>
    </row>
    <row r="135" spans="1:11" ht="52.15" customHeight="1" x14ac:dyDescent="0.25">
      <c r="A135" s="147"/>
      <c r="B135" s="68" t="s">
        <v>209</v>
      </c>
      <c r="C135" s="43">
        <v>10.1007</v>
      </c>
      <c r="D135" s="43">
        <v>0.44891999999999999</v>
      </c>
      <c r="E135" s="43">
        <v>10.1007</v>
      </c>
      <c r="F135" s="43">
        <v>0.44891999999999999</v>
      </c>
      <c r="G135" s="43">
        <v>9.7265999999999995</v>
      </c>
      <c r="H135" s="43">
        <v>0.35539499999999996</v>
      </c>
      <c r="I135" s="43">
        <v>9.7265999999999995</v>
      </c>
      <c r="J135" s="43">
        <v>0.35539499999999996</v>
      </c>
      <c r="K135" s="141"/>
    </row>
    <row r="136" spans="1:11" ht="30" x14ac:dyDescent="0.25">
      <c r="A136" s="71" t="s">
        <v>210</v>
      </c>
      <c r="B136" s="16" t="s">
        <v>211</v>
      </c>
      <c r="C136" s="137" t="s">
        <v>252</v>
      </c>
      <c r="D136" s="137"/>
      <c r="E136" s="137"/>
      <c r="F136" s="137"/>
      <c r="G136" s="137"/>
      <c r="H136" s="137"/>
      <c r="I136" s="137"/>
      <c r="J136" s="137"/>
      <c r="K136" s="42" t="s">
        <v>206</v>
      </c>
    </row>
    <row r="137" spans="1:11" ht="28.5" customHeight="1" x14ac:dyDescent="0.25">
      <c r="A137" s="111" t="s">
        <v>212</v>
      </c>
      <c r="B137" s="108" t="s">
        <v>213</v>
      </c>
      <c r="C137" s="64" t="s">
        <v>248</v>
      </c>
      <c r="D137" s="64" t="s">
        <v>248</v>
      </c>
      <c r="E137" s="64" t="s">
        <v>201</v>
      </c>
      <c r="F137" s="64" t="s">
        <v>201</v>
      </c>
      <c r="G137" s="64" t="s">
        <v>201</v>
      </c>
      <c r="H137" s="64" t="s">
        <v>201</v>
      </c>
      <c r="I137" s="64" t="s">
        <v>253</v>
      </c>
      <c r="J137" s="64" t="s">
        <v>253</v>
      </c>
      <c r="K137" s="140" t="s">
        <v>214</v>
      </c>
    </row>
    <row r="138" spans="1:11" ht="28.5" customHeight="1" x14ac:dyDescent="0.25">
      <c r="A138" s="113"/>
      <c r="B138" s="110"/>
      <c r="C138" s="44">
        <v>3.3300118588235286</v>
      </c>
      <c r="D138" s="43">
        <v>7.6452488687782816E-2</v>
      </c>
      <c r="E138" s="43">
        <v>7.9251909154751132</v>
      </c>
      <c r="F138" s="43">
        <v>0.13205429864253396</v>
      </c>
      <c r="G138" s="43">
        <v>7.9251909154751132</v>
      </c>
      <c r="H138" s="43">
        <v>0.13205429864253396</v>
      </c>
      <c r="I138" s="43">
        <v>6.1669357466063355</v>
      </c>
      <c r="J138" s="43">
        <v>9.0352941176470594E-2</v>
      </c>
      <c r="K138" s="148"/>
    </row>
    <row r="139" spans="1:11" ht="28.5" customHeight="1" x14ac:dyDescent="0.25">
      <c r="A139" s="111" t="s">
        <v>215</v>
      </c>
      <c r="B139" s="149" t="s">
        <v>216</v>
      </c>
      <c r="C139" s="64" t="s">
        <v>208</v>
      </c>
      <c r="D139" s="64" t="s">
        <v>208</v>
      </c>
      <c r="E139" s="64" t="s">
        <v>208</v>
      </c>
      <c r="F139" s="64" t="s">
        <v>208</v>
      </c>
      <c r="G139" s="64" t="s">
        <v>251</v>
      </c>
      <c r="H139" s="64" t="s">
        <v>251</v>
      </c>
      <c r="I139" s="64" t="s">
        <v>251</v>
      </c>
      <c r="J139" s="64" t="s">
        <v>251</v>
      </c>
      <c r="K139" s="148"/>
    </row>
    <row r="140" spans="1:11" ht="28.5" customHeight="1" x14ac:dyDescent="0.25">
      <c r="A140" s="113"/>
      <c r="B140" s="150"/>
      <c r="C140" s="45">
        <v>7.5124781408144798</v>
      </c>
      <c r="D140" s="45">
        <v>9.730316742081449E-2</v>
      </c>
      <c r="E140" s="45">
        <v>7.5124781408144798</v>
      </c>
      <c r="F140" s="45">
        <v>9.730316742081449E-2</v>
      </c>
      <c r="G140" s="45">
        <v>7.8113378693212683</v>
      </c>
      <c r="H140" s="45">
        <v>0.10425339366515836</v>
      </c>
      <c r="I140" s="45">
        <v>7.8113378693212683</v>
      </c>
      <c r="J140" s="45">
        <v>0.10425339366515836</v>
      </c>
      <c r="K140" s="141"/>
    </row>
    <row r="141" spans="1:11" ht="28.5" customHeight="1" thickBot="1" x14ac:dyDescent="0.3">
      <c r="A141" s="65" t="s">
        <v>217</v>
      </c>
      <c r="B141" s="68" t="s">
        <v>218</v>
      </c>
      <c r="C141" s="45">
        <f>2.75*768*768/(1024*1024)</f>
        <v>1.546875</v>
      </c>
      <c r="D141" s="45">
        <f>0.05*768*768/(1024*1024)</f>
        <v>2.8125000000000004E-2</v>
      </c>
      <c r="E141" s="45">
        <f>2.81*768*768/(1024*1024)</f>
        <v>1.5806249999999999</v>
      </c>
      <c r="F141" s="45">
        <f>0.05*768*768/(1024*1024)</f>
        <v>2.8125000000000004E-2</v>
      </c>
      <c r="G141" s="45">
        <f>2.75*768*768/(1024*1024)</f>
        <v>1.546875</v>
      </c>
      <c r="H141" s="45">
        <f>0.05*768*768/(1024*1024)</f>
        <v>2.8125000000000004E-2</v>
      </c>
      <c r="I141" s="45">
        <f>2.81*768*768/(1024*1024)</f>
        <v>1.5806249999999999</v>
      </c>
      <c r="J141" s="45">
        <f>0.05*768*768/(1024*1024)</f>
        <v>2.8125000000000004E-2</v>
      </c>
      <c r="K141" s="62" t="s">
        <v>219</v>
      </c>
    </row>
    <row r="142" spans="1:11" ht="15" thickBot="1" x14ac:dyDescent="0.3">
      <c r="A142" s="142" t="s">
        <v>220</v>
      </c>
      <c r="B142" s="143"/>
      <c r="C142" s="144"/>
      <c r="D142" s="144"/>
      <c r="E142" s="144"/>
      <c r="F142" s="144"/>
      <c r="G142" s="144"/>
      <c r="H142" s="144"/>
      <c r="I142" s="144"/>
      <c r="J142" s="144"/>
      <c r="K142" s="145"/>
    </row>
    <row r="143" spans="1:11" ht="53.25" customHeight="1" x14ac:dyDescent="0.25">
      <c r="A143" s="66" t="s">
        <v>221</v>
      </c>
      <c r="B143" s="66"/>
      <c r="C143" s="75" t="s">
        <v>222</v>
      </c>
      <c r="D143" s="8" t="s">
        <v>39</v>
      </c>
      <c r="E143" s="75" t="s">
        <v>222</v>
      </c>
      <c r="F143" s="8" t="s">
        <v>39</v>
      </c>
      <c r="G143" s="75" t="s">
        <v>222</v>
      </c>
      <c r="H143" s="8" t="s">
        <v>39</v>
      </c>
      <c r="I143" s="75" t="s">
        <v>222</v>
      </c>
      <c r="J143" s="8" t="s">
        <v>39</v>
      </c>
      <c r="K143" s="81"/>
    </row>
    <row r="144" spans="1:11" ht="28.5" x14ac:dyDescent="0.25">
      <c r="A144" s="71" t="s">
        <v>223</v>
      </c>
      <c r="B144" s="71"/>
      <c r="C144" s="46">
        <f>(C40+3.54*C43+C45+C110)/1000</f>
        <v>7.2572700000000001</v>
      </c>
      <c r="D144" s="46">
        <v>7.0000000000000007E-2</v>
      </c>
      <c r="E144" s="46">
        <f>(E40+3.54*E43+E45+E110)/1000</f>
        <v>7.1551299999999998</v>
      </c>
      <c r="F144" s="46">
        <v>7.0000000000000007E-2</v>
      </c>
      <c r="G144" s="46">
        <f>(G40+3.54*G43+G45+G110)/1000</f>
        <v>7.2002299999999995</v>
      </c>
      <c r="H144" s="46">
        <v>7.0000000000000007E-2</v>
      </c>
      <c r="I144" s="46">
        <f>(I40+3.54*I43+I45+I110)/1000</f>
        <v>7.1792700000000007</v>
      </c>
      <c r="J144" s="46">
        <v>7.0000000000000007E-2</v>
      </c>
      <c r="K144" s="42"/>
    </row>
  </sheetData>
  <mergeCells count="77">
    <mergeCell ref="J35:J37"/>
    <mergeCell ref="A2:K2"/>
    <mergeCell ref="K3:K14"/>
    <mergeCell ref="C8:J8"/>
    <mergeCell ref="A15:K15"/>
    <mergeCell ref="K21:K25"/>
    <mergeCell ref="B26:B29"/>
    <mergeCell ref="B30:B34"/>
    <mergeCell ref="A35:A37"/>
    <mergeCell ref="D35:D37"/>
    <mergeCell ref="F35:F37"/>
    <mergeCell ref="H35:H37"/>
    <mergeCell ref="A39:K39"/>
    <mergeCell ref="K40:K42"/>
    <mergeCell ref="K45:K46"/>
    <mergeCell ref="A58:K58"/>
    <mergeCell ref="C59:J59"/>
    <mergeCell ref="K59:K105"/>
    <mergeCell ref="C60:J60"/>
    <mergeCell ref="C65:J65"/>
    <mergeCell ref="C66:J66"/>
    <mergeCell ref="C67:J67"/>
    <mergeCell ref="C68:J68"/>
    <mergeCell ref="A69:A70"/>
    <mergeCell ref="A71:A72"/>
    <mergeCell ref="A73:A75"/>
    <mergeCell ref="D73:D75"/>
    <mergeCell ref="F73:F75"/>
    <mergeCell ref="H73:H75"/>
    <mergeCell ref="J73:J75"/>
    <mergeCell ref="C76:J76"/>
    <mergeCell ref="A78:A80"/>
    <mergeCell ref="D78:D80"/>
    <mergeCell ref="F78:F80"/>
    <mergeCell ref="H78:H80"/>
    <mergeCell ref="J78:J80"/>
    <mergeCell ref="A86:A88"/>
    <mergeCell ref="D86:D88"/>
    <mergeCell ref="F86:F88"/>
    <mergeCell ref="H86:H88"/>
    <mergeCell ref="J86:J88"/>
    <mergeCell ref="A82:A84"/>
    <mergeCell ref="D82:D84"/>
    <mergeCell ref="F82:F84"/>
    <mergeCell ref="H82:H84"/>
    <mergeCell ref="J82:J84"/>
    <mergeCell ref="A98:A100"/>
    <mergeCell ref="D98:D100"/>
    <mergeCell ref="F98:F100"/>
    <mergeCell ref="H98:H100"/>
    <mergeCell ref="J98:J100"/>
    <mergeCell ref="A94:A96"/>
    <mergeCell ref="D94:D96"/>
    <mergeCell ref="F94:F96"/>
    <mergeCell ref="H94:H96"/>
    <mergeCell ref="J94:J96"/>
    <mergeCell ref="C133:J133"/>
    <mergeCell ref="A102:A104"/>
    <mergeCell ref="D102:D104"/>
    <mergeCell ref="F102:F104"/>
    <mergeCell ref="H102:H104"/>
    <mergeCell ref="J102:J104"/>
    <mergeCell ref="A106:K106"/>
    <mergeCell ref="A128:K128"/>
    <mergeCell ref="E129:J129"/>
    <mergeCell ref="C130:J130"/>
    <mergeCell ref="A131:A132"/>
    <mergeCell ref="K131:K132"/>
    <mergeCell ref="A142:K142"/>
    <mergeCell ref="A134:A135"/>
    <mergeCell ref="K134:K135"/>
    <mergeCell ref="C136:J136"/>
    <mergeCell ref="A137:A138"/>
    <mergeCell ref="B137:B138"/>
    <mergeCell ref="K137:K140"/>
    <mergeCell ref="A139:A140"/>
    <mergeCell ref="B139:B14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2"/>
  <sheetViews>
    <sheetView topLeftCell="A32" workbookViewId="0">
      <selection activeCell="D54" sqref="D54"/>
    </sheetView>
  </sheetViews>
  <sheetFormatPr defaultColWidth="8.85546875" defaultRowHeight="14.25" x14ac:dyDescent="0.25"/>
  <cols>
    <col min="1" max="1" width="74.5703125" style="22" customWidth="1"/>
    <col min="2" max="2" width="48.42578125" style="22" customWidth="1"/>
    <col min="3" max="3" width="22.42578125" style="47" bestFit="1" customWidth="1"/>
    <col min="4" max="4" width="22" style="47" bestFit="1" customWidth="1"/>
    <col min="5" max="5" width="19.140625" style="47" bestFit="1" customWidth="1"/>
    <col min="6" max="6" width="19.42578125" style="47" customWidth="1"/>
    <col min="7" max="7" width="19.140625" style="47" bestFit="1" customWidth="1"/>
    <col min="8" max="8" width="19.85546875" style="47" customWidth="1"/>
    <col min="9" max="9" width="19.140625" style="47" bestFit="1" customWidth="1"/>
    <col min="10" max="10" width="19.5703125" style="47" customWidth="1"/>
    <col min="11" max="16384" width="8.85546875" style="6"/>
  </cols>
  <sheetData>
    <row r="1" spans="1:10" ht="43.5" thickBot="1" x14ac:dyDescent="0.3">
      <c r="A1" s="1" t="s">
        <v>0</v>
      </c>
      <c r="B1" s="2" t="s">
        <v>1</v>
      </c>
      <c r="C1" s="3" t="s">
        <v>230</v>
      </c>
      <c r="D1" s="4" t="s">
        <v>231</v>
      </c>
      <c r="E1" s="3" t="s">
        <v>232</v>
      </c>
      <c r="F1" s="4" t="s">
        <v>233</v>
      </c>
      <c r="G1" s="3" t="s">
        <v>234</v>
      </c>
      <c r="H1" s="4" t="s">
        <v>235</v>
      </c>
      <c r="I1" s="3" t="s">
        <v>236</v>
      </c>
      <c r="J1" s="4" t="s">
        <v>237</v>
      </c>
    </row>
    <row r="2" spans="1:10" ht="15" thickBot="1" x14ac:dyDescent="0.3">
      <c r="A2" s="116" t="s">
        <v>6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13.9" customHeight="1" x14ac:dyDescent="0.2">
      <c r="A3" s="7" t="s">
        <v>7</v>
      </c>
      <c r="B3" s="66"/>
      <c r="C3" s="37">
        <f>7.5*2.5</f>
        <v>18.75</v>
      </c>
      <c r="D3" s="37">
        <f>0.3*2.5</f>
        <v>0.75</v>
      </c>
      <c r="E3" s="37">
        <f>7.5*2.5</f>
        <v>18.75</v>
      </c>
      <c r="F3" s="37">
        <f>0.3*2.5</f>
        <v>0.75</v>
      </c>
      <c r="G3" s="37">
        <f>7.9*2.5</f>
        <v>19.75</v>
      </c>
      <c r="H3" s="37">
        <f>0.3*2.5</f>
        <v>0.75</v>
      </c>
      <c r="I3" s="37">
        <f>7.5*2.5</f>
        <v>18.75</v>
      </c>
      <c r="J3" s="37">
        <f>0.3*2.5</f>
        <v>0.75</v>
      </c>
    </row>
    <row r="4" spans="1:10" ht="28.9" customHeight="1" x14ac:dyDescent="0.2">
      <c r="A4" s="9" t="s">
        <v>10</v>
      </c>
      <c r="B4" s="71"/>
      <c r="C4" s="37">
        <f>3.7*2.5</f>
        <v>9.25</v>
      </c>
      <c r="D4" s="37">
        <f>0.2*2.5</f>
        <v>0.5</v>
      </c>
      <c r="E4" s="37">
        <f>3.7*2.5</f>
        <v>9.25</v>
      </c>
      <c r="F4" s="37">
        <f>0.2*2.5</f>
        <v>0.5</v>
      </c>
      <c r="G4" s="37">
        <f>3.9*2.5</f>
        <v>9.75</v>
      </c>
      <c r="H4" s="37">
        <f>0.2*2.5</f>
        <v>0.5</v>
      </c>
      <c r="I4" s="37">
        <f>3.7*2.5</f>
        <v>9.25</v>
      </c>
      <c r="J4" s="37">
        <f>0.2*2.5</f>
        <v>0.5</v>
      </c>
    </row>
    <row r="5" spans="1:10" ht="28.15" customHeight="1" x14ac:dyDescent="0.2">
      <c r="A5" s="9" t="s">
        <v>11</v>
      </c>
      <c r="B5" s="71"/>
      <c r="C5" s="37">
        <f>0.95*2.5</f>
        <v>2.375</v>
      </c>
      <c r="D5" s="37">
        <f>0.08*2.5</f>
        <v>0.2</v>
      </c>
      <c r="E5" s="37">
        <f>0.95*2.5</f>
        <v>2.375</v>
      </c>
      <c r="F5" s="37">
        <f>0.08*2.5</f>
        <v>0.2</v>
      </c>
      <c r="G5" s="37">
        <f>1.1*2.5</f>
        <v>2.75</v>
      </c>
      <c r="H5" s="37">
        <f>0.08*2.5</f>
        <v>0.2</v>
      </c>
      <c r="I5" s="37">
        <f>0.95*2.5</f>
        <v>2.375</v>
      </c>
      <c r="J5" s="37">
        <f>0.08*2.5</f>
        <v>0.2</v>
      </c>
    </row>
    <row r="6" spans="1:10" ht="28.5" x14ac:dyDescent="0.2">
      <c r="A6" s="9" t="s">
        <v>12</v>
      </c>
      <c r="B6" s="71"/>
      <c r="C6" s="37">
        <f>6*2.5</f>
        <v>15</v>
      </c>
      <c r="D6" s="37">
        <f>0.5*2.5</f>
        <v>1.25</v>
      </c>
      <c r="E6" s="37">
        <f>6*2.5</f>
        <v>15</v>
      </c>
      <c r="F6" s="37">
        <f>0.5*2.5</f>
        <v>1.25</v>
      </c>
      <c r="G6" s="37">
        <f>7*2.5</f>
        <v>17.5</v>
      </c>
      <c r="H6" s="37">
        <f>0.5*2.5</f>
        <v>1.25</v>
      </c>
      <c r="I6" s="37">
        <f>6*2.5</f>
        <v>15</v>
      </c>
      <c r="J6" s="37">
        <f>0.5*2.5</f>
        <v>1.25</v>
      </c>
    </row>
    <row r="7" spans="1:10" x14ac:dyDescent="0.2">
      <c r="A7" s="9" t="s">
        <v>13</v>
      </c>
      <c r="B7" s="71"/>
      <c r="C7" s="37">
        <f>2.1*2.5</f>
        <v>5.25</v>
      </c>
      <c r="D7" s="37">
        <f>0.1*2.5</f>
        <v>0.25</v>
      </c>
      <c r="E7" s="37">
        <f>2.1*2.5</f>
        <v>5.25</v>
      </c>
      <c r="F7" s="37">
        <f>0.1*2.5</f>
        <v>0.25</v>
      </c>
      <c r="G7" s="37">
        <f>2.1*2.5</f>
        <v>5.25</v>
      </c>
      <c r="H7" s="37">
        <f>0.1*2.5</f>
        <v>0.25</v>
      </c>
      <c r="I7" s="37">
        <f>2.1*2.5</f>
        <v>5.25</v>
      </c>
      <c r="J7" s="37">
        <f>0.1*2.5</f>
        <v>0.25</v>
      </c>
    </row>
    <row r="8" spans="1:10" ht="44.45" customHeight="1" x14ac:dyDescent="0.2">
      <c r="A8" s="9" t="s">
        <v>14</v>
      </c>
      <c r="B8" s="71"/>
      <c r="C8" s="152"/>
      <c r="D8" s="122"/>
      <c r="E8" s="122"/>
      <c r="F8" s="122"/>
      <c r="G8" s="122"/>
      <c r="H8" s="122"/>
      <c r="I8" s="122"/>
      <c r="J8" s="153"/>
    </row>
    <row r="9" spans="1:10" x14ac:dyDescent="0.25">
      <c r="A9" s="9" t="s">
        <v>16</v>
      </c>
      <c r="B9" s="71"/>
      <c r="C9" s="46">
        <f>1.136*2.5/0.6517</f>
        <v>4.3578333589074729</v>
      </c>
      <c r="D9" s="10" t="s">
        <v>17</v>
      </c>
      <c r="E9" s="46">
        <f>1.136*2.5/0.6517</f>
        <v>4.3578333589074729</v>
      </c>
      <c r="F9" s="10" t="s">
        <v>17</v>
      </c>
      <c r="G9" s="46">
        <f>1.136*2.5/0.6517</f>
        <v>4.3578333589074729</v>
      </c>
      <c r="H9" s="10" t="s">
        <v>17</v>
      </c>
      <c r="I9" s="46">
        <f>1.136*2.5/0.6517</f>
        <v>4.3578333589074729</v>
      </c>
      <c r="J9" s="10" t="s">
        <v>17</v>
      </c>
    </row>
    <row r="10" spans="1:10" x14ac:dyDescent="0.25">
      <c r="A10" s="9" t="s">
        <v>18</v>
      </c>
      <c r="B10" s="71"/>
      <c r="C10" s="46">
        <f>7.021*2.5/0.6517</f>
        <v>26.933404940923737</v>
      </c>
      <c r="D10" s="10" t="s">
        <v>17</v>
      </c>
      <c r="E10" s="46">
        <f>7.021*2.5/0.6517</f>
        <v>26.933404940923737</v>
      </c>
      <c r="F10" s="10" t="s">
        <v>17</v>
      </c>
      <c r="G10" s="46">
        <f>7.021*2.5/0.6517</f>
        <v>26.933404940923737</v>
      </c>
      <c r="H10" s="10" t="s">
        <v>17</v>
      </c>
      <c r="I10" s="46">
        <f>7.021*2.5/0.6517</f>
        <v>26.933404940923737</v>
      </c>
      <c r="J10" s="10" t="s">
        <v>17</v>
      </c>
    </row>
    <row r="11" spans="1:10" x14ac:dyDescent="0.25">
      <c r="A11" s="9" t="s">
        <v>19</v>
      </c>
      <c r="B11" s="71"/>
      <c r="C11" s="72">
        <v>2712000000000</v>
      </c>
      <c r="D11" s="72" t="s">
        <v>17</v>
      </c>
      <c r="E11" s="72">
        <v>2712000000000</v>
      </c>
      <c r="F11" s="72" t="s">
        <v>17</v>
      </c>
      <c r="G11" s="72">
        <v>2712000000000</v>
      </c>
      <c r="H11" s="72" t="s">
        <v>17</v>
      </c>
      <c r="I11" s="72">
        <v>2712000000000</v>
      </c>
      <c r="J11" s="72" t="s">
        <v>17</v>
      </c>
    </row>
    <row r="12" spans="1:10" x14ac:dyDescent="0.25">
      <c r="A12" s="9" t="s">
        <v>20</v>
      </c>
      <c r="B12" s="71"/>
      <c r="C12" s="72">
        <v>105000000000000</v>
      </c>
      <c r="D12" s="72" t="s">
        <v>17</v>
      </c>
      <c r="E12" s="72">
        <v>105000000000000</v>
      </c>
      <c r="F12" s="72" t="s">
        <v>17</v>
      </c>
      <c r="G12" s="72">
        <v>105000000000000</v>
      </c>
      <c r="H12" s="72" t="s">
        <v>17</v>
      </c>
      <c r="I12" s="72">
        <v>105000000000000</v>
      </c>
      <c r="J12" s="72" t="s">
        <v>17</v>
      </c>
    </row>
    <row r="13" spans="1:10" x14ac:dyDescent="0.25">
      <c r="A13" s="9" t="s">
        <v>21</v>
      </c>
      <c r="B13" s="71"/>
      <c r="C13" s="72">
        <v>0.1157</v>
      </c>
      <c r="D13" s="72" t="s">
        <v>17</v>
      </c>
      <c r="E13" s="72">
        <v>0.1157</v>
      </c>
      <c r="F13" s="72" t="s">
        <v>17</v>
      </c>
      <c r="G13" s="72">
        <v>0.1157</v>
      </c>
      <c r="H13" s="72" t="s">
        <v>17</v>
      </c>
      <c r="I13" s="72">
        <v>0.1157</v>
      </c>
      <c r="J13" s="72" t="s">
        <v>17</v>
      </c>
    </row>
    <row r="14" spans="1:10" x14ac:dyDescent="0.25">
      <c r="A14" s="11" t="s">
        <v>22</v>
      </c>
      <c r="B14" s="65"/>
      <c r="C14" s="10">
        <v>6.0539999999999997E-2</v>
      </c>
      <c r="D14" s="10" t="s">
        <v>17</v>
      </c>
      <c r="E14" s="10">
        <v>6.0539999999999997E-2</v>
      </c>
      <c r="F14" s="10" t="s">
        <v>17</v>
      </c>
      <c r="G14" s="10">
        <v>6.0539999999999997E-2</v>
      </c>
      <c r="H14" s="10" t="s">
        <v>17</v>
      </c>
      <c r="I14" s="10">
        <v>6.0539999999999997E-2</v>
      </c>
      <c r="J14" s="10" t="s">
        <v>17</v>
      </c>
    </row>
    <row r="15" spans="1:10" x14ac:dyDescent="0.25">
      <c r="A15" s="158" t="s">
        <v>23</v>
      </c>
      <c r="B15" s="159"/>
      <c r="C15" s="159"/>
      <c r="D15" s="159"/>
      <c r="E15" s="159"/>
      <c r="F15" s="159"/>
      <c r="G15" s="159"/>
      <c r="H15" s="159"/>
      <c r="I15" s="159"/>
      <c r="J15" s="159"/>
    </row>
    <row r="16" spans="1:10" ht="28.5" x14ac:dyDescent="0.25">
      <c r="A16" s="9" t="s">
        <v>24</v>
      </c>
      <c r="B16" s="36" t="s">
        <v>25</v>
      </c>
      <c r="C16" s="13">
        <v>4502</v>
      </c>
      <c r="D16" s="13">
        <v>47</v>
      </c>
      <c r="E16" s="13">
        <v>4467</v>
      </c>
      <c r="F16" s="13">
        <v>43</v>
      </c>
      <c r="G16" s="13">
        <v>4453</v>
      </c>
      <c r="H16" s="13">
        <v>45</v>
      </c>
      <c r="I16" s="13">
        <v>4432</v>
      </c>
      <c r="J16" s="13">
        <v>39</v>
      </c>
    </row>
    <row r="17" spans="1:10" x14ac:dyDescent="0.25">
      <c r="A17" s="9" t="s">
        <v>27</v>
      </c>
      <c r="B17" s="14" t="s">
        <v>28</v>
      </c>
      <c r="C17" s="72">
        <v>-5.5</v>
      </c>
      <c r="D17" s="72">
        <v>0.26</v>
      </c>
      <c r="E17" s="72">
        <v>-5.5</v>
      </c>
      <c r="F17" s="72">
        <v>0.53</v>
      </c>
      <c r="G17" s="72">
        <v>-4.5999999999999996</v>
      </c>
      <c r="H17" s="72">
        <v>0.65</v>
      </c>
      <c r="I17" s="72">
        <v>-5</v>
      </c>
      <c r="J17" s="72">
        <v>0.49</v>
      </c>
    </row>
    <row r="18" spans="1:10" ht="28.5" x14ac:dyDescent="0.25">
      <c r="A18" s="9" t="s">
        <v>29</v>
      </c>
      <c r="B18" s="14" t="s">
        <v>30</v>
      </c>
      <c r="C18" s="72">
        <v>93.7</v>
      </c>
      <c r="D18" s="72">
        <v>3</v>
      </c>
      <c r="E18" s="72">
        <v>95.9</v>
      </c>
      <c r="F18" s="72">
        <v>2.6</v>
      </c>
      <c r="G18" s="72">
        <v>93.4</v>
      </c>
      <c r="H18" s="72">
        <v>2.8</v>
      </c>
      <c r="I18" s="72">
        <v>91.7</v>
      </c>
      <c r="J18" s="72">
        <v>2.6</v>
      </c>
    </row>
    <row r="19" spans="1:10" x14ac:dyDescent="0.25">
      <c r="A19" s="9" t="s">
        <v>31</v>
      </c>
      <c r="B19" s="14" t="s">
        <v>32</v>
      </c>
      <c r="C19" s="15">
        <v>0</v>
      </c>
      <c r="D19" s="72" t="s">
        <v>17</v>
      </c>
      <c r="E19" s="15">
        <v>0</v>
      </c>
      <c r="F19" s="72" t="s">
        <v>17</v>
      </c>
      <c r="G19" s="15">
        <v>0</v>
      </c>
      <c r="H19" s="72" t="s">
        <v>17</v>
      </c>
      <c r="I19" s="15">
        <v>0</v>
      </c>
      <c r="J19" s="72" t="s">
        <v>17</v>
      </c>
    </row>
    <row r="20" spans="1:10" x14ac:dyDescent="0.25">
      <c r="A20" s="9" t="s">
        <v>33</v>
      </c>
      <c r="B20" s="14" t="s">
        <v>34</v>
      </c>
      <c r="C20" s="72">
        <v>108.4</v>
      </c>
      <c r="D20" s="72">
        <v>14.7</v>
      </c>
      <c r="E20" s="72">
        <v>51.1</v>
      </c>
      <c r="F20" s="72">
        <v>9.4</v>
      </c>
      <c r="G20" s="72">
        <v>51.8</v>
      </c>
      <c r="H20" s="72">
        <v>13.4</v>
      </c>
      <c r="I20" s="72">
        <v>72.3</v>
      </c>
      <c r="J20" s="72">
        <v>18.2</v>
      </c>
    </row>
    <row r="21" spans="1:10" x14ac:dyDescent="0.25">
      <c r="A21" s="9" t="s">
        <v>35</v>
      </c>
      <c r="B21" s="14"/>
      <c r="C21" s="72">
        <v>48</v>
      </c>
      <c r="D21" s="72">
        <v>14</v>
      </c>
      <c r="E21" s="72">
        <v>58</v>
      </c>
      <c r="F21" s="72">
        <v>11</v>
      </c>
      <c r="G21" s="72">
        <v>57</v>
      </c>
      <c r="H21" s="72">
        <v>10</v>
      </c>
      <c r="I21" s="72">
        <v>59</v>
      </c>
      <c r="J21" s="72">
        <v>12</v>
      </c>
    </row>
    <row r="22" spans="1:10" x14ac:dyDescent="0.25">
      <c r="A22" s="9" t="s">
        <v>37</v>
      </c>
      <c r="B22" s="16"/>
      <c r="C22" s="72">
        <v>99</v>
      </c>
      <c r="D22" s="72">
        <v>12</v>
      </c>
      <c r="E22" s="72">
        <v>82</v>
      </c>
      <c r="F22" s="72">
        <v>21</v>
      </c>
      <c r="G22" s="72">
        <v>99</v>
      </c>
      <c r="H22" s="72">
        <v>14</v>
      </c>
      <c r="I22" s="72">
        <v>116</v>
      </c>
      <c r="J22" s="72">
        <v>12</v>
      </c>
    </row>
    <row r="23" spans="1:10" x14ac:dyDescent="0.25">
      <c r="A23" s="9" t="s">
        <v>38</v>
      </c>
      <c r="B23" s="16"/>
      <c r="C23" s="72">
        <v>0.18</v>
      </c>
      <c r="D23" s="72" t="s">
        <v>39</v>
      </c>
      <c r="E23" s="72">
        <v>0.18</v>
      </c>
      <c r="F23" s="72" t="s">
        <v>39</v>
      </c>
      <c r="G23" s="72">
        <v>0.2</v>
      </c>
      <c r="H23" s="72" t="s">
        <v>238</v>
      </c>
      <c r="I23" s="72">
        <v>0.16</v>
      </c>
      <c r="J23" s="72" t="s">
        <v>238</v>
      </c>
    </row>
    <row r="24" spans="1:10" x14ac:dyDescent="0.25">
      <c r="A24" s="9" t="s">
        <v>40</v>
      </c>
      <c r="B24" s="16"/>
      <c r="C24" s="72">
        <v>39</v>
      </c>
      <c r="D24" s="72">
        <v>12</v>
      </c>
      <c r="E24" s="72">
        <v>42</v>
      </c>
      <c r="F24" s="72">
        <v>12</v>
      </c>
      <c r="G24" s="72">
        <v>39</v>
      </c>
      <c r="H24" s="72">
        <v>18</v>
      </c>
      <c r="I24" s="72">
        <v>57</v>
      </c>
      <c r="J24" s="72">
        <v>7</v>
      </c>
    </row>
    <row r="25" spans="1:10" x14ac:dyDescent="0.25">
      <c r="A25" s="9" t="s">
        <v>41</v>
      </c>
      <c r="B25" s="16"/>
      <c r="C25" s="72">
        <v>59</v>
      </c>
      <c r="D25" s="72">
        <v>12</v>
      </c>
      <c r="E25" s="72">
        <v>80</v>
      </c>
      <c r="F25" s="72">
        <v>10</v>
      </c>
      <c r="G25" s="72">
        <v>49</v>
      </c>
      <c r="H25" s="72">
        <v>11</v>
      </c>
      <c r="I25" s="72">
        <v>90</v>
      </c>
      <c r="J25" s="72">
        <v>6</v>
      </c>
    </row>
    <row r="26" spans="1:10" x14ac:dyDescent="0.25">
      <c r="A26" s="11" t="s">
        <v>42</v>
      </c>
      <c r="B26" s="160" t="s">
        <v>254</v>
      </c>
      <c r="C26" s="23">
        <v>28.92</v>
      </c>
      <c r="D26" s="23">
        <v>1.18</v>
      </c>
      <c r="E26" s="23">
        <v>28.92</v>
      </c>
      <c r="F26" s="23">
        <v>1.1399999999999999</v>
      </c>
      <c r="G26" s="23">
        <v>28.92</v>
      </c>
      <c r="H26" s="23">
        <v>1.1399999999999999</v>
      </c>
      <c r="I26" s="23">
        <v>28.92</v>
      </c>
      <c r="J26" s="23">
        <v>1.1399999999999999</v>
      </c>
    </row>
    <row r="27" spans="1:10" x14ac:dyDescent="0.25">
      <c r="A27" s="11" t="s">
        <v>44</v>
      </c>
      <c r="B27" s="161"/>
      <c r="C27" s="23">
        <v>25.82</v>
      </c>
      <c r="D27" s="23">
        <v>1.18</v>
      </c>
      <c r="E27" s="23">
        <v>25.82</v>
      </c>
      <c r="F27" s="23">
        <v>1.1399999999999999</v>
      </c>
      <c r="G27" s="23">
        <v>28.92</v>
      </c>
      <c r="H27" s="23">
        <v>1.1399999999999999</v>
      </c>
      <c r="I27" s="23">
        <v>25.82</v>
      </c>
      <c r="J27" s="23">
        <v>1.1399999999999999</v>
      </c>
    </row>
    <row r="28" spans="1:10" x14ac:dyDescent="0.25">
      <c r="A28" s="11" t="s">
        <v>45</v>
      </c>
      <c r="B28" s="161"/>
      <c r="C28" s="23">
        <v>25.82</v>
      </c>
      <c r="D28" s="23">
        <v>1.18</v>
      </c>
      <c r="E28" s="23">
        <v>25.82</v>
      </c>
      <c r="F28" s="23">
        <v>1.1399999999999999</v>
      </c>
      <c r="G28" s="23">
        <v>25.82</v>
      </c>
      <c r="H28" s="23">
        <v>1.1399999999999999</v>
      </c>
      <c r="I28" s="23">
        <v>25.82</v>
      </c>
      <c r="J28" s="23">
        <v>1.1399999999999999</v>
      </c>
    </row>
    <row r="29" spans="1:10" x14ac:dyDescent="0.25">
      <c r="A29" s="11" t="s">
        <v>255</v>
      </c>
      <c r="B29" s="161"/>
      <c r="C29" s="23">
        <v>52.19</v>
      </c>
      <c r="D29" s="23">
        <v>1.45</v>
      </c>
      <c r="E29" s="23">
        <v>69.55</v>
      </c>
      <c r="F29" s="23">
        <v>2.25</v>
      </c>
      <c r="G29" s="23">
        <v>56.08</v>
      </c>
      <c r="H29" s="23">
        <v>2.15</v>
      </c>
      <c r="I29" s="23">
        <v>71.58</v>
      </c>
      <c r="J29" s="23">
        <v>2.2400000000000002</v>
      </c>
    </row>
    <row r="30" spans="1:10" x14ac:dyDescent="0.25">
      <c r="A30" s="11" t="s">
        <v>46</v>
      </c>
      <c r="B30" s="162"/>
      <c r="C30" s="23">
        <v>27.49</v>
      </c>
      <c r="D30" s="23">
        <v>0.34</v>
      </c>
      <c r="E30" s="23">
        <v>27.49</v>
      </c>
      <c r="F30" s="23">
        <v>0.34</v>
      </c>
      <c r="G30" s="23">
        <v>27.49</v>
      </c>
      <c r="H30" s="23">
        <v>0.34</v>
      </c>
      <c r="I30" s="23">
        <v>27.49</v>
      </c>
      <c r="J30" s="23">
        <v>0.34</v>
      </c>
    </row>
    <row r="31" spans="1:10" x14ac:dyDescent="0.25">
      <c r="A31" s="136" t="s">
        <v>256</v>
      </c>
      <c r="B31" s="71"/>
      <c r="C31" s="23">
        <v>-54.8</v>
      </c>
      <c r="D31" s="137" t="s">
        <v>54</v>
      </c>
      <c r="E31" s="23">
        <v>-54.8</v>
      </c>
      <c r="F31" s="137" t="s">
        <v>54</v>
      </c>
      <c r="G31" s="23">
        <v>-54.8</v>
      </c>
      <c r="H31" s="137" t="s">
        <v>54</v>
      </c>
      <c r="I31" s="23">
        <v>-54.8</v>
      </c>
      <c r="J31" s="137" t="s">
        <v>54</v>
      </c>
    </row>
    <row r="32" spans="1:10" x14ac:dyDescent="0.25">
      <c r="A32" s="136"/>
      <c r="B32" s="71"/>
      <c r="C32" s="23">
        <v>-108.2</v>
      </c>
      <c r="D32" s="137"/>
      <c r="E32" s="23">
        <v>-118.2</v>
      </c>
      <c r="F32" s="137"/>
      <c r="G32" s="23">
        <v>-108.2</v>
      </c>
      <c r="H32" s="137"/>
      <c r="I32" s="23">
        <v>-118.2</v>
      </c>
      <c r="J32" s="137"/>
    </row>
    <row r="33" spans="1:10" x14ac:dyDescent="0.25">
      <c r="A33" s="136"/>
      <c r="B33" s="71"/>
      <c r="C33" s="23">
        <v>-27.5</v>
      </c>
      <c r="D33" s="137"/>
      <c r="E33" s="23">
        <v>-27.5</v>
      </c>
      <c r="F33" s="137"/>
      <c r="G33" s="23">
        <v>-27.5</v>
      </c>
      <c r="H33" s="137"/>
      <c r="I33" s="23">
        <v>-27.5</v>
      </c>
      <c r="J33" s="137"/>
    </row>
    <row r="34" spans="1:10" x14ac:dyDescent="0.25">
      <c r="A34" s="9" t="s">
        <v>257</v>
      </c>
      <c r="B34" s="71"/>
      <c r="C34" s="29">
        <v>-2</v>
      </c>
      <c r="D34" s="64" t="s">
        <v>39</v>
      </c>
      <c r="E34" s="29">
        <v>-2</v>
      </c>
      <c r="F34" s="64" t="s">
        <v>39</v>
      </c>
      <c r="G34" s="29">
        <v>-2</v>
      </c>
      <c r="H34" s="64" t="s">
        <v>39</v>
      </c>
      <c r="I34" s="29">
        <v>-2</v>
      </c>
      <c r="J34" s="64" t="s">
        <v>39</v>
      </c>
    </row>
    <row r="35" spans="1:10" ht="15" thickBot="1" x14ac:dyDescent="0.3">
      <c r="A35" s="163" t="s">
        <v>57</v>
      </c>
      <c r="B35" s="164"/>
      <c r="C35" s="164"/>
      <c r="D35" s="164"/>
      <c r="E35" s="164"/>
      <c r="F35" s="164"/>
      <c r="G35" s="164"/>
      <c r="H35" s="164"/>
      <c r="I35" s="164"/>
      <c r="J35" s="164"/>
    </row>
    <row r="36" spans="1:10" ht="28.5" x14ac:dyDescent="0.25">
      <c r="A36" s="7" t="s">
        <v>58</v>
      </c>
      <c r="B36" s="12" t="s">
        <v>59</v>
      </c>
      <c r="C36" s="13">
        <v>5526</v>
      </c>
      <c r="D36" s="13">
        <v>44</v>
      </c>
      <c r="E36" s="13">
        <v>5376</v>
      </c>
      <c r="F36" s="13">
        <v>41</v>
      </c>
      <c r="G36" s="13">
        <v>5497</v>
      </c>
      <c r="H36" s="13">
        <v>43</v>
      </c>
      <c r="I36" s="13">
        <v>5381</v>
      </c>
      <c r="J36" s="13">
        <v>36</v>
      </c>
    </row>
    <row r="37" spans="1:10" x14ac:dyDescent="0.25">
      <c r="A37" s="9" t="s">
        <v>61</v>
      </c>
      <c r="C37" s="13">
        <v>1024</v>
      </c>
      <c r="D37" s="13">
        <v>22</v>
      </c>
      <c r="E37" s="13">
        <v>909</v>
      </c>
      <c r="F37" s="13">
        <v>28</v>
      </c>
      <c r="G37" s="13">
        <v>1054</v>
      </c>
      <c r="H37" s="13">
        <v>29</v>
      </c>
      <c r="I37" s="13">
        <v>949</v>
      </c>
      <c r="J37" s="13">
        <v>20</v>
      </c>
    </row>
    <row r="38" spans="1:10" x14ac:dyDescent="0.25">
      <c r="A38" s="9" t="s">
        <v>62</v>
      </c>
      <c r="B38" s="14" t="s">
        <v>63</v>
      </c>
      <c r="C38" s="72">
        <v>-8.5</v>
      </c>
      <c r="D38" s="72">
        <v>0.19</v>
      </c>
      <c r="E38" s="72">
        <v>-9</v>
      </c>
      <c r="F38" s="72">
        <v>0.27</v>
      </c>
      <c r="G38" s="72">
        <v>-8.3000000000000007</v>
      </c>
      <c r="H38" s="72">
        <v>0.19</v>
      </c>
      <c r="I38" s="72">
        <v>-8.9</v>
      </c>
      <c r="J38" s="72">
        <v>0.26</v>
      </c>
    </row>
    <row r="39" spans="1:10" ht="28.5" x14ac:dyDescent="0.25">
      <c r="A39" s="9" t="s">
        <v>64</v>
      </c>
      <c r="B39" s="14" t="s">
        <v>65</v>
      </c>
      <c r="C39" s="72">
        <v>82</v>
      </c>
      <c r="D39" s="72">
        <v>2.8</v>
      </c>
      <c r="E39" s="72">
        <v>76</v>
      </c>
      <c r="F39" s="72">
        <v>1.9</v>
      </c>
      <c r="G39" s="72">
        <v>82</v>
      </c>
      <c r="H39" s="72">
        <v>3.5</v>
      </c>
      <c r="I39" s="72">
        <v>76</v>
      </c>
      <c r="J39" s="72">
        <v>2</v>
      </c>
    </row>
    <row r="40" spans="1:10" x14ac:dyDescent="0.25">
      <c r="A40" s="9" t="s">
        <v>66</v>
      </c>
      <c r="B40" s="14" t="s">
        <v>67</v>
      </c>
      <c r="C40" s="72">
        <v>3.5000000000000003E-2</v>
      </c>
      <c r="D40" s="72" t="s">
        <v>39</v>
      </c>
      <c r="E40" s="72">
        <v>0.03</v>
      </c>
      <c r="F40" s="72" t="s">
        <v>39</v>
      </c>
      <c r="G40" s="72">
        <v>0.05</v>
      </c>
      <c r="H40" s="72" t="s">
        <v>39</v>
      </c>
      <c r="I40" s="72">
        <v>0.04</v>
      </c>
      <c r="J40" s="72" t="s">
        <v>39</v>
      </c>
    </row>
    <row r="41" spans="1:10" x14ac:dyDescent="0.25">
      <c r="A41" s="9" t="s">
        <v>68</v>
      </c>
      <c r="B41" s="14" t="s">
        <v>34</v>
      </c>
      <c r="C41" s="72">
        <v>125.3</v>
      </c>
      <c r="D41" s="72">
        <v>15.4</v>
      </c>
      <c r="E41" s="72">
        <v>68</v>
      </c>
      <c r="F41" s="72">
        <v>9.6</v>
      </c>
      <c r="G41" s="72">
        <v>114</v>
      </c>
      <c r="H41" s="72">
        <v>14.2</v>
      </c>
      <c r="I41" s="72">
        <v>66</v>
      </c>
      <c r="J41" s="72">
        <v>12.4</v>
      </c>
    </row>
    <row r="42" spans="1:10" x14ac:dyDescent="0.25">
      <c r="A42" s="9" t="s">
        <v>70</v>
      </c>
      <c r="C42" s="13">
        <v>98.7</v>
      </c>
      <c r="D42" s="13">
        <v>2</v>
      </c>
      <c r="E42" s="13">
        <v>99.5</v>
      </c>
      <c r="F42" s="13">
        <v>1.27</v>
      </c>
      <c r="G42" s="13">
        <v>107.1</v>
      </c>
      <c r="H42" s="13">
        <v>2.17</v>
      </c>
      <c r="I42" s="13">
        <v>95.1</v>
      </c>
      <c r="J42" s="13">
        <v>1.1000000000000001</v>
      </c>
    </row>
    <row r="43" spans="1:10" x14ac:dyDescent="0.25">
      <c r="A43" s="9" t="s">
        <v>72</v>
      </c>
      <c r="B43" s="16" t="s">
        <v>73</v>
      </c>
      <c r="C43" s="23">
        <v>110.7</v>
      </c>
      <c r="D43" s="23">
        <v>1.1000000000000001</v>
      </c>
      <c r="E43" s="23">
        <v>111.8</v>
      </c>
      <c r="F43" s="23">
        <v>0.62</v>
      </c>
      <c r="G43" s="23">
        <v>115.5</v>
      </c>
      <c r="H43" s="23">
        <v>1.3</v>
      </c>
      <c r="I43" s="23">
        <v>107.9</v>
      </c>
      <c r="J43" s="23">
        <v>0.87</v>
      </c>
    </row>
    <row r="44" spans="1:10" ht="31.5" customHeight="1" x14ac:dyDescent="0.25">
      <c r="A44" s="9" t="s">
        <v>74</v>
      </c>
      <c r="B44" s="16"/>
      <c r="C44" s="23" t="s">
        <v>75</v>
      </c>
      <c r="D44" s="23"/>
      <c r="E44" s="23" t="s">
        <v>75</v>
      </c>
      <c r="F44" s="23"/>
      <c r="G44" s="23" t="s">
        <v>75</v>
      </c>
      <c r="H44" s="23"/>
      <c r="I44" s="23" t="s">
        <v>75</v>
      </c>
      <c r="J44" s="23"/>
    </row>
    <row r="45" spans="1:10" x14ac:dyDescent="0.25">
      <c r="A45" s="9" t="s">
        <v>258</v>
      </c>
      <c r="B45" s="16"/>
      <c r="C45" s="23">
        <v>-146.9</v>
      </c>
      <c r="D45" s="23" t="s">
        <v>39</v>
      </c>
      <c r="E45" s="23">
        <v>-146.9</v>
      </c>
      <c r="F45" s="23" t="s">
        <v>39</v>
      </c>
      <c r="G45" s="23">
        <v>-146.9</v>
      </c>
      <c r="H45" s="23" t="s">
        <v>39</v>
      </c>
      <c r="I45" s="23">
        <v>-146.9</v>
      </c>
      <c r="J45" s="23" t="s">
        <v>39</v>
      </c>
    </row>
    <row r="46" spans="1:10" x14ac:dyDescent="0.25">
      <c r="A46" s="9" t="s">
        <v>259</v>
      </c>
      <c r="B46" s="16"/>
      <c r="C46" s="64">
        <v>-4.5</v>
      </c>
      <c r="D46" s="72" t="s">
        <v>39</v>
      </c>
      <c r="E46" s="64">
        <v>-4.5</v>
      </c>
      <c r="F46" s="72" t="s">
        <v>39</v>
      </c>
      <c r="G46" s="64">
        <v>-4.5</v>
      </c>
      <c r="H46" s="72" t="s">
        <v>39</v>
      </c>
      <c r="I46" s="64">
        <v>-4.5</v>
      </c>
      <c r="J46" s="72" t="s">
        <v>39</v>
      </c>
    </row>
    <row r="47" spans="1:10" ht="28.5" x14ac:dyDescent="0.25">
      <c r="A47" s="9" t="s">
        <v>78</v>
      </c>
      <c r="B47" s="16"/>
      <c r="C47" s="24">
        <f>1.08*C43</f>
        <v>119.55600000000001</v>
      </c>
      <c r="D47" s="25" t="s">
        <v>39</v>
      </c>
      <c r="E47" s="24">
        <f>1.08*E43</f>
        <v>120.744</v>
      </c>
      <c r="F47" s="25" t="s">
        <v>39</v>
      </c>
      <c r="G47" s="24">
        <f>1.08*G43</f>
        <v>124.74000000000001</v>
      </c>
      <c r="H47" s="25" t="s">
        <v>39</v>
      </c>
      <c r="I47" s="24">
        <f>1.08*I43</f>
        <v>116.53200000000001</v>
      </c>
      <c r="J47" s="25" t="s">
        <v>39</v>
      </c>
    </row>
    <row r="48" spans="1:10" x14ac:dyDescent="0.25">
      <c r="A48" s="9" t="s">
        <v>79</v>
      </c>
      <c r="B48" s="16" t="s">
        <v>80</v>
      </c>
      <c r="C48" s="64">
        <v>10</v>
      </c>
      <c r="D48" s="72" t="s">
        <v>39</v>
      </c>
      <c r="E48" s="64">
        <v>10</v>
      </c>
      <c r="F48" s="72" t="s">
        <v>39</v>
      </c>
      <c r="G48" s="64">
        <v>10</v>
      </c>
      <c r="H48" s="72" t="s">
        <v>39</v>
      </c>
      <c r="I48" s="64">
        <v>10</v>
      </c>
      <c r="J48" s="72" t="s">
        <v>39</v>
      </c>
    </row>
    <row r="49" spans="1:10" x14ac:dyDescent="0.25">
      <c r="A49" s="9" t="s">
        <v>81</v>
      </c>
      <c r="B49" s="16"/>
      <c r="C49" s="64">
        <v>-2.4E-2</v>
      </c>
      <c r="D49" s="72" t="s">
        <v>39</v>
      </c>
      <c r="E49" s="64">
        <v>-0.1</v>
      </c>
      <c r="F49" s="72" t="s">
        <v>39</v>
      </c>
      <c r="G49" s="64">
        <v>-2.4E-2</v>
      </c>
      <c r="H49" s="72" t="s">
        <v>39</v>
      </c>
      <c r="I49" s="64">
        <v>-0.1</v>
      </c>
      <c r="J49" s="72" t="s">
        <v>39</v>
      </c>
    </row>
    <row r="50" spans="1:10" x14ac:dyDescent="0.25">
      <c r="A50" s="9" t="s">
        <v>82</v>
      </c>
      <c r="B50" s="16" t="s">
        <v>83</v>
      </c>
      <c r="C50" s="64">
        <v>-0.12</v>
      </c>
      <c r="D50" s="72" t="s">
        <v>39</v>
      </c>
      <c r="E50" s="64">
        <v>-0.12</v>
      </c>
      <c r="F50" s="72" t="s">
        <v>39</v>
      </c>
      <c r="G50" s="64">
        <v>-0.12</v>
      </c>
      <c r="H50" s="72" t="s">
        <v>39</v>
      </c>
      <c r="I50" s="64">
        <v>-0.12</v>
      </c>
      <c r="J50" s="72" t="s">
        <v>39</v>
      </c>
    </row>
    <row r="51" spans="1:10" x14ac:dyDescent="0.25">
      <c r="A51" s="27" t="s">
        <v>84</v>
      </c>
      <c r="B51" s="28"/>
      <c r="C51" s="13">
        <v>62.1</v>
      </c>
      <c r="D51" s="13">
        <v>1.6</v>
      </c>
      <c r="E51" s="13">
        <v>69.7</v>
      </c>
      <c r="F51" s="13">
        <v>1.7</v>
      </c>
      <c r="G51" s="13">
        <v>61</v>
      </c>
      <c r="H51" s="13">
        <v>1.7</v>
      </c>
      <c r="I51" s="13">
        <v>68.099999999999994</v>
      </c>
      <c r="J51" s="13">
        <v>1.9</v>
      </c>
    </row>
    <row r="52" spans="1:10" x14ac:dyDescent="0.25">
      <c r="A52" s="27" t="s">
        <v>85</v>
      </c>
      <c r="B52" s="28"/>
      <c r="C52" s="13">
        <v>43.8</v>
      </c>
      <c r="D52" s="13">
        <v>3.4</v>
      </c>
      <c r="E52" s="13">
        <v>55.6</v>
      </c>
      <c r="F52" s="13">
        <v>2.5</v>
      </c>
      <c r="G52" s="13">
        <v>39.1</v>
      </c>
      <c r="H52" s="13">
        <v>5</v>
      </c>
      <c r="I52" s="13">
        <v>53.9</v>
      </c>
      <c r="J52" s="13">
        <v>3</v>
      </c>
    </row>
    <row r="53" spans="1:10" x14ac:dyDescent="0.25">
      <c r="A53" s="9" t="s">
        <v>260</v>
      </c>
      <c r="B53" s="71"/>
      <c r="C53" s="29">
        <v>-2.2000000000000002</v>
      </c>
      <c r="D53" s="72"/>
      <c r="E53" s="72">
        <v>-2.2000000000000002</v>
      </c>
      <c r="F53" s="72"/>
      <c r="G53" s="72">
        <v>-2.2000000000000002</v>
      </c>
      <c r="H53" s="72"/>
      <c r="I53" s="72">
        <v>-2.2000000000000002</v>
      </c>
      <c r="J53" s="72"/>
    </row>
    <row r="54" spans="1:10" ht="29.25" thickBot="1" x14ac:dyDescent="0.3">
      <c r="A54" s="30" t="s">
        <v>87</v>
      </c>
      <c r="B54" s="31"/>
      <c r="C54" s="10">
        <v>2.86</v>
      </c>
      <c r="D54" s="10">
        <v>0.41</v>
      </c>
      <c r="E54" s="10">
        <v>2.1800000000000002</v>
      </c>
      <c r="F54" s="10">
        <v>0.33</v>
      </c>
      <c r="G54" s="10">
        <v>2.82</v>
      </c>
      <c r="H54" s="10">
        <v>0.52</v>
      </c>
      <c r="I54" s="10">
        <v>2.34</v>
      </c>
      <c r="J54" s="10">
        <v>0.34</v>
      </c>
    </row>
    <row r="55" spans="1:10" ht="15" thickBot="1" x14ac:dyDescent="0.3">
      <c r="A55" s="116" t="s">
        <v>88</v>
      </c>
      <c r="B55" s="117"/>
      <c r="C55" s="117"/>
      <c r="D55" s="117"/>
      <c r="E55" s="117"/>
      <c r="F55" s="117"/>
      <c r="G55" s="117"/>
      <c r="H55" s="117"/>
      <c r="I55" s="117"/>
      <c r="J55" s="117"/>
    </row>
    <row r="56" spans="1:10" ht="14.45" customHeight="1" x14ac:dyDescent="0.25">
      <c r="A56" s="66" t="s">
        <v>89</v>
      </c>
      <c r="B56" s="68"/>
      <c r="C56" s="127" t="s">
        <v>239</v>
      </c>
      <c r="D56" s="127"/>
      <c r="E56" s="127"/>
      <c r="F56" s="127"/>
      <c r="G56" s="127"/>
      <c r="H56" s="127"/>
      <c r="I56" s="127"/>
      <c r="J56" s="127"/>
    </row>
    <row r="57" spans="1:10" x14ac:dyDescent="0.25">
      <c r="A57" s="32" t="s">
        <v>261</v>
      </c>
      <c r="B57" s="6"/>
      <c r="C57" s="131">
        <v>30000</v>
      </c>
      <c r="D57" s="131"/>
      <c r="E57" s="131"/>
      <c r="F57" s="131"/>
      <c r="G57" s="131"/>
      <c r="H57" s="131"/>
      <c r="I57" s="131"/>
      <c r="J57" s="151"/>
    </row>
    <row r="58" spans="1:10" ht="14.45" customHeight="1" x14ac:dyDescent="0.25">
      <c r="A58" s="71" t="s">
        <v>93</v>
      </c>
      <c r="B58" s="16"/>
      <c r="C58" s="33">
        <v>37681.051099999997</v>
      </c>
      <c r="D58" s="72"/>
      <c r="E58" s="33">
        <v>42420.369500000001</v>
      </c>
      <c r="F58" s="72"/>
      <c r="G58" s="33">
        <v>42923.814299999998</v>
      </c>
      <c r="H58" s="72"/>
      <c r="I58" s="33">
        <v>43286.135900000001</v>
      </c>
      <c r="J58" s="72"/>
    </row>
    <row r="59" spans="1:10" ht="14.45" customHeight="1" x14ac:dyDescent="0.25">
      <c r="A59" s="71" t="s">
        <v>94</v>
      </c>
      <c r="B59" s="16"/>
      <c r="C59" s="33">
        <v>55906.517</v>
      </c>
      <c r="D59" s="72"/>
      <c r="E59" s="33">
        <v>61037.101000000002</v>
      </c>
      <c r="F59" s="72"/>
      <c r="G59" s="33">
        <v>61433.54</v>
      </c>
      <c r="H59" s="72"/>
      <c r="I59" s="33">
        <v>61404.595999999998</v>
      </c>
      <c r="J59" s="72"/>
    </row>
    <row r="60" spans="1:10" ht="14.45" customHeight="1" x14ac:dyDescent="0.25">
      <c r="A60" s="71" t="s">
        <v>95</v>
      </c>
      <c r="B60" s="16"/>
      <c r="C60" s="33">
        <v>37824.014649999997</v>
      </c>
      <c r="D60" s="72"/>
      <c r="E60" s="33">
        <v>40953.414250000002</v>
      </c>
      <c r="F60" s="72"/>
      <c r="G60" s="33">
        <v>41220.965450000003</v>
      </c>
      <c r="H60" s="72"/>
      <c r="I60" s="33">
        <v>41460.225850000003</v>
      </c>
      <c r="J60" s="72"/>
    </row>
    <row r="61" spans="1:10" ht="14.45" customHeight="1" x14ac:dyDescent="0.25">
      <c r="A61" s="71" t="s">
        <v>96</v>
      </c>
      <c r="B61" s="16"/>
      <c r="C61" s="33">
        <v>69215.885500000004</v>
      </c>
      <c r="D61" s="72"/>
      <c r="E61" s="33">
        <v>65935.481499999994</v>
      </c>
      <c r="F61" s="72"/>
      <c r="G61" s="33">
        <v>65947.384999999995</v>
      </c>
      <c r="H61" s="72"/>
      <c r="I61" s="33">
        <v>72596.448999999993</v>
      </c>
      <c r="J61" s="72"/>
    </row>
    <row r="62" spans="1:10" ht="19.899999999999999" customHeight="1" x14ac:dyDescent="0.25">
      <c r="A62" s="71" t="s">
        <v>97</v>
      </c>
      <c r="B62" s="16"/>
      <c r="C62" s="132" t="s">
        <v>240</v>
      </c>
      <c r="D62" s="132"/>
      <c r="E62" s="132"/>
      <c r="F62" s="132"/>
      <c r="G62" s="132"/>
      <c r="H62" s="132"/>
      <c r="I62" s="132"/>
      <c r="J62" s="132"/>
    </row>
    <row r="63" spans="1:10" ht="19.899999999999999" customHeight="1" x14ac:dyDescent="0.25">
      <c r="A63" s="71" t="s">
        <v>98</v>
      </c>
      <c r="B63" s="16" t="s">
        <v>80</v>
      </c>
      <c r="C63" s="133" t="s">
        <v>241</v>
      </c>
      <c r="D63" s="133"/>
      <c r="E63" s="133"/>
      <c r="F63" s="133"/>
      <c r="G63" s="133"/>
      <c r="H63" s="133"/>
      <c r="I63" s="133"/>
      <c r="J63" s="133"/>
    </row>
    <row r="64" spans="1:10" ht="19.899999999999999" customHeight="1" x14ac:dyDescent="0.25">
      <c r="A64" s="71" t="s">
        <v>99</v>
      </c>
      <c r="B64" s="16"/>
      <c r="C64" s="133" t="s">
        <v>242</v>
      </c>
      <c r="D64" s="133"/>
      <c r="E64" s="133"/>
      <c r="F64" s="133"/>
      <c r="G64" s="133"/>
      <c r="H64" s="133"/>
      <c r="I64" s="133"/>
      <c r="J64" s="133"/>
    </row>
    <row r="65" spans="1:11" ht="19.899999999999999" customHeight="1" x14ac:dyDescent="0.25">
      <c r="A65" s="71" t="s">
        <v>100</v>
      </c>
      <c r="B65" s="16"/>
      <c r="C65" s="133" t="s">
        <v>262</v>
      </c>
      <c r="D65" s="133"/>
      <c r="E65" s="133"/>
      <c r="F65" s="133"/>
      <c r="G65" s="133"/>
      <c r="H65" s="133"/>
      <c r="I65" s="133"/>
      <c r="J65" s="133"/>
    </row>
    <row r="66" spans="1:11" ht="19.899999999999999" customHeight="1" x14ac:dyDescent="0.25">
      <c r="A66" s="136" t="s">
        <v>263</v>
      </c>
      <c r="B66" s="16" t="s">
        <v>102</v>
      </c>
      <c r="C66" s="33">
        <v>14.751628749000002</v>
      </c>
      <c r="D66" s="72"/>
      <c r="E66" s="33">
        <v>14.223178597</v>
      </c>
      <c r="F66" s="72"/>
      <c r="G66" s="33">
        <v>14.182345380000001</v>
      </c>
      <c r="H66" s="72"/>
      <c r="I66" s="33">
        <v>14.185326612000001</v>
      </c>
      <c r="J66" s="72"/>
    </row>
    <row r="67" spans="1:11" ht="19.899999999999999" customHeight="1" x14ac:dyDescent="0.25">
      <c r="A67" s="136"/>
      <c r="B67" s="16" t="s">
        <v>103</v>
      </c>
      <c r="C67" s="33">
        <v>16.6288517367</v>
      </c>
      <c r="D67" s="72"/>
      <c r="E67" s="33">
        <v>16.140701941500001</v>
      </c>
      <c r="F67" s="72"/>
      <c r="G67" s="33">
        <v>16.088847127100003</v>
      </c>
      <c r="H67" s="72"/>
      <c r="I67" s="33">
        <v>16.051528002300003</v>
      </c>
      <c r="J67" s="72"/>
    </row>
    <row r="68" spans="1:11" ht="19.899999999999999" customHeight="1" x14ac:dyDescent="0.25">
      <c r="A68" s="136" t="s">
        <v>264</v>
      </c>
      <c r="B68" s="16" t="s">
        <v>105</v>
      </c>
      <c r="C68" s="33">
        <v>11.380763793500002</v>
      </c>
      <c r="D68" s="72"/>
      <c r="E68" s="33">
        <v>11.718645405500002</v>
      </c>
      <c r="F68" s="72"/>
      <c r="G68" s="33">
        <v>11.717419345000003</v>
      </c>
      <c r="H68" s="72"/>
      <c r="I68" s="33">
        <v>11.032565753000004</v>
      </c>
      <c r="J68" s="72"/>
    </row>
    <row r="69" spans="1:11" ht="19.899999999999999" customHeight="1" x14ac:dyDescent="0.25">
      <c r="A69" s="136"/>
      <c r="B69" s="16" t="s">
        <v>106</v>
      </c>
      <c r="C69" s="33">
        <v>14.614126491050001</v>
      </c>
      <c r="D69" s="72"/>
      <c r="E69" s="33">
        <v>14.291798332250002</v>
      </c>
      <c r="F69" s="72"/>
      <c r="G69" s="33">
        <v>14.264240558650002</v>
      </c>
      <c r="H69" s="72"/>
      <c r="I69" s="33">
        <v>14.23959673745</v>
      </c>
      <c r="J69" s="72"/>
    </row>
    <row r="70" spans="1:11" ht="14.45" customHeight="1" x14ac:dyDescent="0.25">
      <c r="A70" s="156" t="s">
        <v>107</v>
      </c>
      <c r="B70" s="16"/>
      <c r="C70" s="48" t="s">
        <v>265</v>
      </c>
      <c r="D70" s="157" t="s">
        <v>109</v>
      </c>
      <c r="E70" s="48" t="s">
        <v>266</v>
      </c>
      <c r="F70" s="157" t="s">
        <v>109</v>
      </c>
      <c r="G70" s="48" t="s">
        <v>266</v>
      </c>
      <c r="H70" s="157" t="s">
        <v>109</v>
      </c>
      <c r="I70" s="48" t="s">
        <v>265</v>
      </c>
      <c r="J70" s="157" t="s">
        <v>109</v>
      </c>
    </row>
    <row r="71" spans="1:11" ht="14.45" customHeight="1" x14ac:dyDescent="0.25">
      <c r="A71" s="154"/>
      <c r="B71" s="16"/>
      <c r="C71" s="49" t="s">
        <v>267</v>
      </c>
      <c r="D71" s="132"/>
      <c r="E71" s="49" t="s">
        <v>267</v>
      </c>
      <c r="F71" s="132"/>
      <c r="G71" s="49" t="s">
        <v>268</v>
      </c>
      <c r="H71" s="132"/>
      <c r="I71" s="49" t="s">
        <v>269</v>
      </c>
      <c r="J71" s="132"/>
    </row>
    <row r="72" spans="1:11" ht="14.45" customHeight="1" x14ac:dyDescent="0.25">
      <c r="A72" s="154"/>
      <c r="B72" s="16"/>
      <c r="C72" s="49" t="s">
        <v>270</v>
      </c>
      <c r="D72" s="132"/>
      <c r="E72" s="49" t="s">
        <v>271</v>
      </c>
      <c r="F72" s="132"/>
      <c r="G72" s="49" t="s">
        <v>270</v>
      </c>
      <c r="H72" s="132"/>
      <c r="I72" s="49" t="s">
        <v>272</v>
      </c>
      <c r="J72" s="132"/>
    </row>
    <row r="73" spans="1:11" s="26" customFormat="1" ht="14.25" customHeight="1" x14ac:dyDescent="0.25">
      <c r="A73" s="71" t="s">
        <v>112</v>
      </c>
      <c r="B73" s="16" t="s">
        <v>80</v>
      </c>
      <c r="C73" s="155" t="s">
        <v>273</v>
      </c>
      <c r="D73" s="131"/>
      <c r="E73" s="131"/>
      <c r="F73" s="131"/>
      <c r="G73" s="131"/>
      <c r="H73" s="131"/>
      <c r="I73" s="131"/>
      <c r="J73" s="151"/>
      <c r="K73" s="6"/>
    </row>
    <row r="74" spans="1:11" ht="35.450000000000003" customHeight="1" x14ac:dyDescent="0.25">
      <c r="A74" s="80" t="s">
        <v>113</v>
      </c>
      <c r="B74" s="16" t="s">
        <v>114</v>
      </c>
      <c r="C74" s="77" t="s">
        <v>115</v>
      </c>
      <c r="D74" s="77" t="s">
        <v>116</v>
      </c>
      <c r="E74" s="77" t="s">
        <v>115</v>
      </c>
      <c r="F74" s="77" t="s">
        <v>116</v>
      </c>
      <c r="G74" s="77" t="s">
        <v>115</v>
      </c>
      <c r="H74" s="77" t="s">
        <v>116</v>
      </c>
      <c r="I74" s="77" t="s">
        <v>115</v>
      </c>
      <c r="J74" s="77" t="s">
        <v>116</v>
      </c>
    </row>
    <row r="75" spans="1:11" x14ac:dyDescent="0.25">
      <c r="A75" s="136" t="s">
        <v>117</v>
      </c>
      <c r="B75" s="16"/>
      <c r="C75" s="49" t="s">
        <v>274</v>
      </c>
      <c r="D75" s="132" t="s">
        <v>119</v>
      </c>
      <c r="E75" s="49" t="s">
        <v>274</v>
      </c>
      <c r="F75" s="132" t="s">
        <v>119</v>
      </c>
      <c r="G75" s="49" t="s">
        <v>274</v>
      </c>
      <c r="H75" s="132" t="s">
        <v>119</v>
      </c>
      <c r="I75" s="49" t="s">
        <v>274</v>
      </c>
      <c r="J75" s="132" t="s">
        <v>119</v>
      </c>
    </row>
    <row r="76" spans="1:11" ht="19.899999999999999" customHeight="1" x14ac:dyDescent="0.25">
      <c r="A76" s="136"/>
      <c r="B76" s="16"/>
      <c r="C76" s="49" t="s">
        <v>275</v>
      </c>
      <c r="D76" s="132"/>
      <c r="E76" s="49" t="s">
        <v>275</v>
      </c>
      <c r="F76" s="132"/>
      <c r="G76" s="49" t="s">
        <v>275</v>
      </c>
      <c r="H76" s="132"/>
      <c r="I76" s="49" t="s">
        <v>275</v>
      </c>
      <c r="J76" s="132"/>
    </row>
    <row r="77" spans="1:11" ht="19.899999999999999" customHeight="1" x14ac:dyDescent="0.25">
      <c r="A77" s="136"/>
      <c r="B77" s="16"/>
      <c r="C77" s="49" t="s">
        <v>276</v>
      </c>
      <c r="D77" s="132"/>
      <c r="E77" s="49" t="s">
        <v>276</v>
      </c>
      <c r="F77" s="132"/>
      <c r="G77" s="49" t="s">
        <v>276</v>
      </c>
      <c r="H77" s="132"/>
      <c r="I77" s="49" t="s">
        <v>276</v>
      </c>
      <c r="J77" s="132"/>
    </row>
    <row r="78" spans="1:11" ht="31.15" customHeight="1" x14ac:dyDescent="0.25">
      <c r="A78" s="80" t="s">
        <v>122</v>
      </c>
      <c r="B78" s="16" t="s">
        <v>123</v>
      </c>
      <c r="C78" s="77" t="s">
        <v>124</v>
      </c>
      <c r="D78" s="77" t="s">
        <v>125</v>
      </c>
      <c r="E78" s="77" t="s">
        <v>124</v>
      </c>
      <c r="F78" s="77" t="s">
        <v>125</v>
      </c>
      <c r="G78" s="77" t="s">
        <v>124</v>
      </c>
      <c r="H78" s="77" t="s">
        <v>125</v>
      </c>
      <c r="I78" s="77" t="s">
        <v>124</v>
      </c>
      <c r="J78" s="77" t="s">
        <v>125</v>
      </c>
    </row>
    <row r="79" spans="1:11" ht="19.899999999999999" customHeight="1" x14ac:dyDescent="0.25">
      <c r="A79" s="154" t="s">
        <v>153</v>
      </c>
      <c r="B79" s="16"/>
      <c r="C79" s="49" t="s">
        <v>277</v>
      </c>
      <c r="D79" s="132" t="s">
        <v>128</v>
      </c>
      <c r="E79" s="49" t="s">
        <v>278</v>
      </c>
      <c r="F79" s="132" t="s">
        <v>128</v>
      </c>
      <c r="G79" s="49" t="s">
        <v>278</v>
      </c>
      <c r="H79" s="132" t="s">
        <v>128</v>
      </c>
      <c r="I79" s="49" t="s">
        <v>277</v>
      </c>
      <c r="J79" s="132" t="s">
        <v>128</v>
      </c>
    </row>
    <row r="80" spans="1:11" ht="19.899999999999999" customHeight="1" x14ac:dyDescent="0.25">
      <c r="A80" s="154"/>
      <c r="B80" s="16"/>
      <c r="C80" s="49" t="s">
        <v>279</v>
      </c>
      <c r="D80" s="132"/>
      <c r="E80" s="49" t="s">
        <v>279</v>
      </c>
      <c r="F80" s="132"/>
      <c r="G80" s="49" t="s">
        <v>280</v>
      </c>
      <c r="H80" s="132"/>
      <c r="I80" s="49" t="s">
        <v>281</v>
      </c>
      <c r="J80" s="132"/>
    </row>
    <row r="81" spans="1:10" ht="19.899999999999999" customHeight="1" x14ac:dyDescent="0.25">
      <c r="A81" s="154"/>
      <c r="B81" s="16"/>
      <c r="C81" s="49" t="s">
        <v>282</v>
      </c>
      <c r="D81" s="132"/>
      <c r="E81" s="49" t="s">
        <v>283</v>
      </c>
      <c r="F81" s="132"/>
      <c r="G81" s="49" t="s">
        <v>282</v>
      </c>
      <c r="H81" s="132"/>
      <c r="I81" s="49" t="s">
        <v>284</v>
      </c>
      <c r="J81" s="132"/>
    </row>
    <row r="82" spans="1:10" ht="37.15" customHeight="1" x14ac:dyDescent="0.25">
      <c r="A82" s="80" t="s">
        <v>131</v>
      </c>
      <c r="B82" s="16" t="s">
        <v>132</v>
      </c>
      <c r="C82" s="77" t="s">
        <v>133</v>
      </c>
      <c r="D82" s="77" t="s">
        <v>119</v>
      </c>
      <c r="E82" s="77" t="s">
        <v>133</v>
      </c>
      <c r="F82" s="77" t="s">
        <v>119</v>
      </c>
      <c r="G82" s="77" t="s">
        <v>285</v>
      </c>
      <c r="H82" s="77" t="s">
        <v>119</v>
      </c>
      <c r="I82" s="77" t="s">
        <v>133</v>
      </c>
      <c r="J82" s="77" t="s">
        <v>119</v>
      </c>
    </row>
    <row r="83" spans="1:10" ht="19.899999999999999" customHeight="1" x14ac:dyDescent="0.25">
      <c r="A83" s="136" t="s">
        <v>134</v>
      </c>
      <c r="B83" s="16"/>
      <c r="C83" s="49" t="s">
        <v>286</v>
      </c>
      <c r="D83" s="132" t="s">
        <v>136</v>
      </c>
      <c r="E83" s="49" t="s">
        <v>286</v>
      </c>
      <c r="F83" s="132" t="s">
        <v>136</v>
      </c>
      <c r="G83" s="49" t="s">
        <v>286</v>
      </c>
      <c r="H83" s="132" t="s">
        <v>136</v>
      </c>
      <c r="I83" s="49" t="s">
        <v>286</v>
      </c>
      <c r="J83" s="132" t="s">
        <v>136</v>
      </c>
    </row>
    <row r="84" spans="1:10" s="26" customFormat="1" x14ac:dyDescent="0.25">
      <c r="A84" s="136"/>
      <c r="B84" s="16"/>
      <c r="C84" s="49" t="s">
        <v>287</v>
      </c>
      <c r="D84" s="132"/>
      <c r="E84" s="49" t="s">
        <v>287</v>
      </c>
      <c r="F84" s="132"/>
      <c r="G84" s="49" t="s">
        <v>287</v>
      </c>
      <c r="H84" s="132"/>
      <c r="I84" s="49" t="s">
        <v>287</v>
      </c>
      <c r="J84" s="132"/>
    </row>
    <row r="85" spans="1:10" s="26" customFormat="1" x14ac:dyDescent="0.25">
      <c r="A85" s="136"/>
      <c r="B85" s="16"/>
      <c r="C85" s="49" t="s">
        <v>288</v>
      </c>
      <c r="D85" s="132"/>
      <c r="E85" s="49" t="s">
        <v>288</v>
      </c>
      <c r="F85" s="132"/>
      <c r="G85" s="49" t="s">
        <v>288</v>
      </c>
      <c r="H85" s="132"/>
      <c r="I85" s="49" t="s">
        <v>288</v>
      </c>
      <c r="J85" s="132"/>
    </row>
    <row r="86" spans="1:10" s="26" customFormat="1" ht="37.15" customHeight="1" x14ac:dyDescent="0.25">
      <c r="A86" s="80" t="s">
        <v>139</v>
      </c>
      <c r="B86" s="16" t="s">
        <v>140</v>
      </c>
      <c r="C86" s="77" t="s">
        <v>141</v>
      </c>
      <c r="D86" s="77" t="s">
        <v>119</v>
      </c>
      <c r="E86" s="77" t="s">
        <v>141</v>
      </c>
      <c r="F86" s="77" t="s">
        <v>119</v>
      </c>
      <c r="G86" s="77" t="s">
        <v>141</v>
      </c>
      <c r="H86" s="77" t="s">
        <v>119</v>
      </c>
      <c r="I86" s="77" t="s">
        <v>141</v>
      </c>
      <c r="J86" s="77" t="s">
        <v>119</v>
      </c>
    </row>
    <row r="87" spans="1:10" s="26" customFormat="1" x14ac:dyDescent="0.25">
      <c r="A87" s="71" t="s">
        <v>142</v>
      </c>
      <c r="B87" s="16"/>
      <c r="C87" s="49">
        <v>12</v>
      </c>
      <c r="D87" s="77">
        <v>1</v>
      </c>
      <c r="E87" s="49">
        <v>11</v>
      </c>
      <c r="F87" s="77">
        <v>1</v>
      </c>
      <c r="G87" s="49">
        <v>11</v>
      </c>
      <c r="H87" s="77">
        <v>1</v>
      </c>
      <c r="I87" s="49">
        <v>12</v>
      </c>
      <c r="J87" s="77">
        <v>1</v>
      </c>
    </row>
    <row r="88" spans="1:10" s="26" customFormat="1" x14ac:dyDescent="0.25">
      <c r="A88" s="71" t="s">
        <v>143</v>
      </c>
      <c r="B88" s="16"/>
      <c r="C88" s="49">
        <v>13</v>
      </c>
      <c r="D88" s="77">
        <v>1</v>
      </c>
      <c r="E88" s="49">
        <v>13</v>
      </c>
      <c r="F88" s="77">
        <v>1</v>
      </c>
      <c r="G88" s="49">
        <v>12.7</v>
      </c>
      <c r="H88" s="77">
        <v>1</v>
      </c>
      <c r="I88" s="49">
        <v>13.3</v>
      </c>
      <c r="J88" s="77">
        <v>1</v>
      </c>
    </row>
    <row r="89" spans="1:10" s="26" customFormat="1" x14ac:dyDescent="0.25">
      <c r="A89" s="71" t="s">
        <v>144</v>
      </c>
      <c r="B89" s="16"/>
      <c r="C89" s="49">
        <v>14</v>
      </c>
      <c r="D89" s="77">
        <v>1</v>
      </c>
      <c r="E89" s="49">
        <v>15</v>
      </c>
      <c r="F89" s="77">
        <v>1</v>
      </c>
      <c r="G89" s="49">
        <v>14</v>
      </c>
      <c r="H89" s="77">
        <v>1</v>
      </c>
      <c r="I89" s="49">
        <v>14.5</v>
      </c>
      <c r="J89" s="77">
        <v>1</v>
      </c>
    </row>
    <row r="90" spans="1:10" s="26" customFormat="1" x14ac:dyDescent="0.25">
      <c r="A90" s="80" t="s">
        <v>289</v>
      </c>
      <c r="C90" s="77" t="s">
        <v>290</v>
      </c>
      <c r="D90" s="77"/>
      <c r="E90" s="77" t="s">
        <v>290</v>
      </c>
      <c r="F90" s="77"/>
      <c r="G90" s="77" t="s">
        <v>290</v>
      </c>
      <c r="H90" s="77"/>
      <c r="I90" s="77" t="s">
        <v>290</v>
      </c>
      <c r="J90" s="77"/>
    </row>
    <row r="91" spans="1:10" s="26" customFormat="1" x14ac:dyDescent="0.25">
      <c r="A91" s="80" t="s">
        <v>145</v>
      </c>
      <c r="B91" s="16" t="s">
        <v>146</v>
      </c>
      <c r="C91" s="77" t="s">
        <v>115</v>
      </c>
      <c r="D91" s="77" t="s">
        <v>116</v>
      </c>
      <c r="E91" s="77" t="s">
        <v>115</v>
      </c>
      <c r="F91" s="77" t="s">
        <v>116</v>
      </c>
      <c r="G91" s="77" t="s">
        <v>115</v>
      </c>
      <c r="H91" s="77" t="s">
        <v>116</v>
      </c>
      <c r="I91" s="77" t="s">
        <v>115</v>
      </c>
      <c r="J91" s="77" t="s">
        <v>116</v>
      </c>
    </row>
    <row r="92" spans="1:10" s="26" customFormat="1" x14ac:dyDescent="0.25">
      <c r="A92" s="136" t="s">
        <v>147</v>
      </c>
      <c r="B92" s="16"/>
      <c r="C92" s="49" t="s">
        <v>291</v>
      </c>
      <c r="D92" s="132" t="s">
        <v>119</v>
      </c>
      <c r="E92" s="49" t="s">
        <v>291</v>
      </c>
      <c r="F92" s="132" t="s">
        <v>119</v>
      </c>
      <c r="G92" s="49" t="s">
        <v>291</v>
      </c>
      <c r="H92" s="132" t="s">
        <v>119</v>
      </c>
      <c r="I92" s="49" t="s">
        <v>291</v>
      </c>
      <c r="J92" s="132" t="s">
        <v>119</v>
      </c>
    </row>
    <row r="93" spans="1:10" s="26" customFormat="1" x14ac:dyDescent="0.25">
      <c r="A93" s="136"/>
      <c r="B93" s="16"/>
      <c r="C93" s="49" t="s">
        <v>292</v>
      </c>
      <c r="D93" s="132"/>
      <c r="E93" s="49" t="s">
        <v>292</v>
      </c>
      <c r="F93" s="132"/>
      <c r="G93" s="49" t="s">
        <v>292</v>
      </c>
      <c r="H93" s="132"/>
      <c r="I93" s="49" t="s">
        <v>292</v>
      </c>
      <c r="J93" s="132"/>
    </row>
    <row r="94" spans="1:10" s="26" customFormat="1" x14ac:dyDescent="0.25">
      <c r="A94" s="136"/>
      <c r="B94" s="16"/>
      <c r="C94" s="49" t="s">
        <v>293</v>
      </c>
      <c r="D94" s="132"/>
      <c r="E94" s="49" t="s">
        <v>293</v>
      </c>
      <c r="F94" s="132"/>
      <c r="G94" s="49" t="s">
        <v>293</v>
      </c>
      <c r="H94" s="132"/>
      <c r="I94" s="49" t="s">
        <v>293</v>
      </c>
      <c r="J94" s="132"/>
    </row>
    <row r="95" spans="1:10" s="26" customFormat="1" x14ac:dyDescent="0.25">
      <c r="A95" s="80" t="s">
        <v>151</v>
      </c>
      <c r="B95" s="16" t="s">
        <v>152</v>
      </c>
      <c r="C95" s="77" t="s">
        <v>115</v>
      </c>
      <c r="D95" s="77" t="s">
        <v>116</v>
      </c>
      <c r="E95" s="77" t="s">
        <v>115</v>
      </c>
      <c r="F95" s="77" t="s">
        <v>116</v>
      </c>
      <c r="G95" s="77" t="s">
        <v>115</v>
      </c>
      <c r="H95" s="77" t="s">
        <v>116</v>
      </c>
      <c r="I95" s="77" t="s">
        <v>115</v>
      </c>
      <c r="J95" s="77" t="s">
        <v>116</v>
      </c>
    </row>
    <row r="96" spans="1:10" s="26" customFormat="1" x14ac:dyDescent="0.25">
      <c r="A96" s="154" t="s">
        <v>153</v>
      </c>
      <c r="B96" s="16"/>
      <c r="C96" s="49" t="s">
        <v>278</v>
      </c>
      <c r="D96" s="132" t="s">
        <v>128</v>
      </c>
      <c r="E96" s="49" t="s">
        <v>265</v>
      </c>
      <c r="F96" s="132" t="s">
        <v>128</v>
      </c>
      <c r="G96" s="49" t="s">
        <v>294</v>
      </c>
      <c r="H96" s="132" t="s">
        <v>128</v>
      </c>
      <c r="I96" s="49" t="s">
        <v>278</v>
      </c>
      <c r="J96" s="132" t="s">
        <v>128</v>
      </c>
    </row>
    <row r="97" spans="1:10" s="26" customFormat="1" x14ac:dyDescent="0.25">
      <c r="A97" s="154"/>
      <c r="B97" s="16"/>
      <c r="C97" s="49" t="s">
        <v>295</v>
      </c>
      <c r="D97" s="132"/>
      <c r="E97" s="49" t="s">
        <v>295</v>
      </c>
      <c r="F97" s="132"/>
      <c r="G97" s="49" t="s">
        <v>268</v>
      </c>
      <c r="H97" s="132"/>
      <c r="I97" s="49" t="s">
        <v>296</v>
      </c>
      <c r="J97" s="132"/>
    </row>
    <row r="98" spans="1:10" s="26" customFormat="1" x14ac:dyDescent="0.25">
      <c r="A98" s="154"/>
      <c r="B98" s="16"/>
      <c r="C98" s="49" t="s">
        <v>271</v>
      </c>
      <c r="D98" s="132"/>
      <c r="E98" s="49" t="s">
        <v>282</v>
      </c>
      <c r="F98" s="132"/>
      <c r="G98" s="49" t="s">
        <v>271</v>
      </c>
      <c r="H98" s="132"/>
      <c r="I98" s="49" t="s">
        <v>297</v>
      </c>
      <c r="J98" s="132"/>
    </row>
    <row r="99" spans="1:10" s="26" customFormat="1" x14ac:dyDescent="0.25">
      <c r="A99" s="80" t="s">
        <v>157</v>
      </c>
      <c r="B99" s="16" t="s">
        <v>158</v>
      </c>
      <c r="C99" s="77" t="s">
        <v>133</v>
      </c>
      <c r="D99" s="77" t="s">
        <v>119</v>
      </c>
      <c r="E99" s="77" t="s">
        <v>133</v>
      </c>
      <c r="F99" s="77" t="s">
        <v>119</v>
      </c>
      <c r="G99" s="77" t="s">
        <v>133</v>
      </c>
      <c r="H99" s="77" t="s">
        <v>119</v>
      </c>
      <c r="I99" s="77" t="s">
        <v>133</v>
      </c>
      <c r="J99" s="77" t="s">
        <v>119</v>
      </c>
    </row>
    <row r="100" spans="1:10" s="26" customFormat="1" x14ac:dyDescent="0.25">
      <c r="A100" s="136" t="s">
        <v>159</v>
      </c>
      <c r="B100" s="16"/>
      <c r="C100" s="49" t="s">
        <v>298</v>
      </c>
      <c r="D100" s="132" t="s">
        <v>136</v>
      </c>
      <c r="E100" s="49" t="s">
        <v>298</v>
      </c>
      <c r="F100" s="132" t="s">
        <v>136</v>
      </c>
      <c r="G100" s="49" t="s">
        <v>298</v>
      </c>
      <c r="H100" s="132" t="s">
        <v>136</v>
      </c>
      <c r="I100" s="49" t="s">
        <v>298</v>
      </c>
      <c r="J100" s="132" t="s">
        <v>136</v>
      </c>
    </row>
    <row r="101" spans="1:10" s="26" customFormat="1" x14ac:dyDescent="0.25">
      <c r="A101" s="136"/>
      <c r="B101" s="16"/>
      <c r="C101" s="49" t="s">
        <v>299</v>
      </c>
      <c r="D101" s="132"/>
      <c r="E101" s="49" t="s">
        <v>299</v>
      </c>
      <c r="F101" s="132"/>
      <c r="G101" s="49" t="s">
        <v>299</v>
      </c>
      <c r="H101" s="132"/>
      <c r="I101" s="49" t="s">
        <v>299</v>
      </c>
      <c r="J101" s="132"/>
    </row>
    <row r="102" spans="1:10" s="26" customFormat="1" x14ac:dyDescent="0.25">
      <c r="A102" s="136"/>
      <c r="B102" s="16"/>
      <c r="C102" s="49" t="s">
        <v>300</v>
      </c>
      <c r="D102" s="132"/>
      <c r="E102" s="49" t="s">
        <v>300</v>
      </c>
      <c r="F102" s="132"/>
      <c r="G102" s="49" t="s">
        <v>300</v>
      </c>
      <c r="H102" s="132"/>
      <c r="I102" s="49" t="s">
        <v>300</v>
      </c>
      <c r="J102" s="132"/>
    </row>
    <row r="103" spans="1:10" s="26" customFormat="1" ht="15" thickBot="1" x14ac:dyDescent="0.3">
      <c r="A103" s="50" t="s">
        <v>163</v>
      </c>
      <c r="B103" s="16" t="s">
        <v>164</v>
      </c>
      <c r="C103" s="51" t="s">
        <v>165</v>
      </c>
      <c r="D103" s="51" t="s">
        <v>119</v>
      </c>
      <c r="E103" s="51" t="s">
        <v>165</v>
      </c>
      <c r="F103" s="51" t="s">
        <v>119</v>
      </c>
      <c r="G103" s="51" t="s">
        <v>165</v>
      </c>
      <c r="H103" s="51" t="s">
        <v>119</v>
      </c>
      <c r="I103" s="51" t="s">
        <v>165</v>
      </c>
      <c r="J103" s="51" t="s">
        <v>119</v>
      </c>
    </row>
    <row r="104" spans="1:10" ht="15" thickBot="1" x14ac:dyDescent="0.3">
      <c r="A104" s="116" t="s">
        <v>166</v>
      </c>
      <c r="B104" s="117"/>
      <c r="C104" s="117"/>
      <c r="D104" s="117"/>
      <c r="E104" s="117"/>
      <c r="F104" s="117"/>
      <c r="G104" s="117"/>
      <c r="H104" s="117"/>
      <c r="I104" s="117"/>
      <c r="J104" s="117"/>
    </row>
    <row r="105" spans="1:10" ht="42.75" x14ac:dyDescent="0.25">
      <c r="A105" s="34" t="s">
        <v>167</v>
      </c>
      <c r="B105" s="52" t="s">
        <v>168</v>
      </c>
      <c r="C105" s="35">
        <f>748.1-103</f>
        <v>645.1</v>
      </c>
      <c r="D105" s="35">
        <f>(645/748)*25.5</f>
        <v>21.988636363636363</v>
      </c>
      <c r="E105" s="35">
        <f>831.2-142</f>
        <v>689.2</v>
      </c>
      <c r="F105" s="35">
        <f>(689.2/831.2)*27.1</f>
        <v>22.470307988450436</v>
      </c>
      <c r="G105" s="35">
        <f>738.5-130</f>
        <v>608.5</v>
      </c>
      <c r="H105" s="35">
        <f>(608/738)*27.1</f>
        <v>22.326287262872633</v>
      </c>
      <c r="I105" s="35">
        <f>836.8-130</f>
        <v>706.8</v>
      </c>
      <c r="J105" s="35">
        <f>(706/836)*21.6</f>
        <v>18.241148325358854</v>
      </c>
    </row>
    <row r="106" spans="1:10" ht="42.75" x14ac:dyDescent="0.25">
      <c r="A106" s="34" t="s">
        <v>169</v>
      </c>
      <c r="B106" s="52"/>
      <c r="C106" s="35">
        <f>706.9-94</f>
        <v>612.9</v>
      </c>
      <c r="D106" s="35">
        <f>(612/706)*35.7</f>
        <v>30.946742209631729</v>
      </c>
      <c r="E106" s="35">
        <f>791.3-130</f>
        <v>661.3</v>
      </c>
      <c r="F106" s="35">
        <f>661/791*30.9</f>
        <v>25.821618204804043</v>
      </c>
      <c r="G106" s="35">
        <f>742.6-134</f>
        <v>608.6</v>
      </c>
      <c r="H106" s="35">
        <f>608/742*34.1</f>
        <v>27.94177897574124</v>
      </c>
      <c r="I106" s="35">
        <f>765.6-114</f>
        <v>651.6</v>
      </c>
      <c r="J106" s="35">
        <f>651/765*33.7</f>
        <v>28.678039215686276</v>
      </c>
    </row>
    <row r="107" spans="1:10" ht="42.75" x14ac:dyDescent="0.25">
      <c r="A107" s="28" t="s">
        <v>170</v>
      </c>
      <c r="B107" s="53"/>
      <c r="C107" s="72">
        <v>1227.82</v>
      </c>
      <c r="D107" s="72">
        <v>32.5</v>
      </c>
      <c r="E107" s="72">
        <v>1343.43</v>
      </c>
      <c r="F107" s="72">
        <v>35.25</v>
      </c>
      <c r="G107" s="72">
        <v>1208.48</v>
      </c>
      <c r="H107" s="72">
        <v>35.880000000000003</v>
      </c>
      <c r="I107" s="72">
        <v>1364.12</v>
      </c>
      <c r="J107" s="72">
        <v>31</v>
      </c>
    </row>
    <row r="108" spans="1:10" ht="42.75" x14ac:dyDescent="0.2">
      <c r="A108" s="28" t="s">
        <v>171</v>
      </c>
      <c r="B108" s="52" t="s">
        <v>172</v>
      </c>
      <c r="C108" s="37">
        <v>1315.69</v>
      </c>
      <c r="D108" s="37">
        <v>34.090000000000003</v>
      </c>
      <c r="E108" s="37">
        <v>1442.09</v>
      </c>
      <c r="F108" s="37">
        <v>37.18</v>
      </c>
      <c r="G108" s="37">
        <v>1298.95</v>
      </c>
      <c r="H108" s="37">
        <v>37.93</v>
      </c>
      <c r="I108" s="37">
        <v>1463.23</v>
      </c>
      <c r="J108" s="37">
        <v>32.92</v>
      </c>
    </row>
    <row r="109" spans="1:10" x14ac:dyDescent="0.25">
      <c r="A109" s="28" t="s">
        <v>173</v>
      </c>
      <c r="B109" s="53" t="s">
        <v>174</v>
      </c>
      <c r="C109" s="15">
        <v>0.48</v>
      </c>
      <c r="D109" s="15" t="s">
        <v>39</v>
      </c>
      <c r="E109" s="15">
        <v>0.63</v>
      </c>
      <c r="F109" s="15" t="s">
        <v>39</v>
      </c>
      <c r="G109" s="15">
        <v>0.43</v>
      </c>
      <c r="H109" s="15" t="s">
        <v>238</v>
      </c>
      <c r="I109" s="15">
        <v>0.53</v>
      </c>
      <c r="J109" s="15" t="s">
        <v>238</v>
      </c>
    </row>
    <row r="110" spans="1:10" ht="42.75" x14ac:dyDescent="0.25">
      <c r="A110" s="28" t="s">
        <v>175</v>
      </c>
      <c r="B110" s="52" t="s">
        <v>176</v>
      </c>
      <c r="C110" s="38">
        <v>212.97588300000001</v>
      </c>
      <c r="D110" s="38">
        <v>17.344389234000001</v>
      </c>
      <c r="E110" s="38">
        <v>196.74610200000001</v>
      </c>
      <c r="F110" s="38">
        <v>14.867080874999999</v>
      </c>
      <c r="G110" s="38">
        <v>188.91823500000001</v>
      </c>
      <c r="H110" s="38">
        <v>14.368794502</v>
      </c>
      <c r="I110" s="38">
        <v>206.15255550000001</v>
      </c>
      <c r="J110" s="38">
        <v>27.373424523000001</v>
      </c>
    </row>
    <row r="111" spans="1:10" ht="42.75" x14ac:dyDescent="0.25">
      <c r="A111" s="28" t="s">
        <v>177</v>
      </c>
      <c r="B111" s="53"/>
      <c r="C111" s="38">
        <v>390.61305340000001</v>
      </c>
      <c r="D111" s="38">
        <v>32.856828262000001</v>
      </c>
      <c r="E111" s="38">
        <v>384.00511920999998</v>
      </c>
      <c r="F111" s="38">
        <v>28.389894797</v>
      </c>
      <c r="G111" s="38">
        <v>398.55974043999998</v>
      </c>
      <c r="H111" s="38">
        <v>30.147075219000001</v>
      </c>
      <c r="I111" s="38">
        <v>374.27840049999998</v>
      </c>
      <c r="J111" s="38">
        <v>35.146397497000002</v>
      </c>
    </row>
    <row r="112" spans="1:10" ht="42.75" x14ac:dyDescent="0.25">
      <c r="A112" s="28" t="s">
        <v>178</v>
      </c>
      <c r="B112" s="52" t="s">
        <v>179</v>
      </c>
      <c r="C112" s="25">
        <v>542.63410050000005</v>
      </c>
      <c r="D112" s="25">
        <v>31.028546800000001</v>
      </c>
      <c r="E112" s="25">
        <v>553.63363279999999</v>
      </c>
      <c r="F112" s="25">
        <v>22.687528740000001</v>
      </c>
      <c r="G112" s="25">
        <v>545.38690129999998</v>
      </c>
      <c r="H112" s="25">
        <v>24.85122526</v>
      </c>
      <c r="I112" s="25">
        <v>567.39492900000005</v>
      </c>
      <c r="J112" s="25">
        <v>31.73718178</v>
      </c>
    </row>
    <row r="113" spans="1:10" ht="42.75" x14ac:dyDescent="0.25">
      <c r="A113" s="28" t="s">
        <v>180</v>
      </c>
      <c r="B113" s="53"/>
      <c r="C113" s="38">
        <v>184.53533400000001</v>
      </c>
      <c r="D113" s="38">
        <v>33.639978077000002</v>
      </c>
      <c r="E113" s="38">
        <v>219.4968825</v>
      </c>
      <c r="F113" s="38">
        <v>21.879757558000001</v>
      </c>
      <c r="G113" s="38">
        <v>196.30304100000001</v>
      </c>
      <c r="H113" s="38">
        <v>32.154623029</v>
      </c>
      <c r="I113" s="38">
        <v>227.24510624999999</v>
      </c>
      <c r="J113" s="38">
        <v>22.377428894000001</v>
      </c>
    </row>
    <row r="114" spans="1:10" ht="42.75" x14ac:dyDescent="0.25">
      <c r="A114" s="28" t="s">
        <v>181</v>
      </c>
      <c r="B114" s="53"/>
      <c r="C114" s="38">
        <v>445.59743342000002</v>
      </c>
      <c r="D114" s="38">
        <v>79.606189888000003</v>
      </c>
      <c r="E114" s="38">
        <v>478.82852245999999</v>
      </c>
      <c r="F114" s="38">
        <v>67.990051414000007</v>
      </c>
      <c r="G114" s="38">
        <v>389.21458632999997</v>
      </c>
      <c r="H114" s="38">
        <v>63.963058396000001</v>
      </c>
      <c r="I114" s="38">
        <v>519.76440945000002</v>
      </c>
      <c r="J114" s="38">
        <v>88.061172580999994</v>
      </c>
    </row>
    <row r="115" spans="1:10" ht="42.75" x14ac:dyDescent="0.25">
      <c r="A115" s="28" t="s">
        <v>182</v>
      </c>
      <c r="C115" s="25">
        <v>611.68735043000004</v>
      </c>
      <c r="D115" s="25">
        <v>18.157201781000001</v>
      </c>
      <c r="E115" s="25">
        <v>682.67427350000003</v>
      </c>
      <c r="F115" s="25">
        <v>29.806198169000002</v>
      </c>
      <c r="G115" s="25">
        <v>628.43965811999999</v>
      </c>
      <c r="H115" s="25">
        <v>23.251859295999999</v>
      </c>
      <c r="I115" s="25">
        <v>674.36982906000003</v>
      </c>
      <c r="J115" s="25">
        <v>23.1530168</v>
      </c>
    </row>
    <row r="116" spans="1:10" ht="42.75" x14ac:dyDescent="0.25">
      <c r="A116" s="54" t="s">
        <v>183</v>
      </c>
      <c r="B116" s="55"/>
      <c r="C116" s="56">
        <v>70</v>
      </c>
      <c r="D116" s="56" t="s">
        <v>39</v>
      </c>
      <c r="E116" s="56">
        <v>70</v>
      </c>
      <c r="F116" s="56" t="s">
        <v>39</v>
      </c>
      <c r="G116" s="56">
        <v>70</v>
      </c>
      <c r="H116" s="56" t="s">
        <v>238</v>
      </c>
      <c r="I116" s="56">
        <v>70</v>
      </c>
      <c r="J116" s="56" t="s">
        <v>39</v>
      </c>
    </row>
    <row r="117" spans="1:10" x14ac:dyDescent="0.25">
      <c r="A117" s="71" t="s">
        <v>184</v>
      </c>
      <c r="B117" s="55"/>
      <c r="C117" s="39">
        <v>-280.43516929999998</v>
      </c>
      <c r="D117" s="38">
        <v>38.690250577999997</v>
      </c>
      <c r="E117" s="39">
        <v>-248.58081899999999</v>
      </c>
      <c r="F117" s="38">
        <v>17.341517389</v>
      </c>
      <c r="G117" s="39">
        <v>-235.3825688</v>
      </c>
      <c r="H117" s="38">
        <v>22.608995686</v>
      </c>
      <c r="I117" s="39">
        <v>-245.8093365</v>
      </c>
      <c r="J117" s="38">
        <v>17.663851659999999</v>
      </c>
    </row>
    <row r="118" spans="1:10" ht="28.5" x14ac:dyDescent="0.25">
      <c r="A118" s="71" t="s">
        <v>185</v>
      </c>
      <c r="B118" s="55"/>
      <c r="C118" s="39">
        <v>-121.55526450000001</v>
      </c>
      <c r="D118" s="38">
        <v>40.654580803000002</v>
      </c>
      <c r="E118" s="39">
        <v>-138.68612999999999</v>
      </c>
      <c r="F118" s="38">
        <v>16.317845522999999</v>
      </c>
      <c r="G118" s="39">
        <v>-123.6552727</v>
      </c>
      <c r="H118" s="38">
        <v>26.545561597999999</v>
      </c>
      <c r="I118" s="39">
        <v>-130.5567045</v>
      </c>
      <c r="J118" s="38">
        <v>19.868999609999999</v>
      </c>
    </row>
    <row r="119" spans="1:10" ht="28.5" x14ac:dyDescent="0.25">
      <c r="A119" s="71" t="s">
        <v>186</v>
      </c>
      <c r="B119" s="55"/>
      <c r="C119" s="39">
        <v>1010.399031</v>
      </c>
      <c r="D119" s="38">
        <v>159.07585173999999</v>
      </c>
      <c r="E119" s="39">
        <v>889.34240850000003</v>
      </c>
      <c r="F119" s="38">
        <v>31.843806775000001</v>
      </c>
      <c r="G119" s="39">
        <v>1058.374423</v>
      </c>
      <c r="H119" s="38">
        <v>164.43016320999999</v>
      </c>
      <c r="I119" s="39">
        <v>906.24262150000004</v>
      </c>
      <c r="J119" s="38">
        <v>38.795456129999998</v>
      </c>
    </row>
    <row r="120" spans="1:10" x14ac:dyDescent="0.25">
      <c r="A120" s="71" t="s">
        <v>187</v>
      </c>
      <c r="B120" s="55"/>
      <c r="C120" s="39">
        <v>4363.5629357999997</v>
      </c>
      <c r="D120" s="38">
        <v>83.715078872999996</v>
      </c>
      <c r="E120" s="39">
        <v>4235.6185477999998</v>
      </c>
      <c r="F120" s="38">
        <v>63.173604574999999</v>
      </c>
      <c r="G120" s="39">
        <v>4376.9741879000003</v>
      </c>
      <c r="H120" s="38">
        <v>103.64143519</v>
      </c>
      <c r="I120" s="39">
        <v>4223.8350916999998</v>
      </c>
      <c r="J120" s="38">
        <v>79.058174249000004</v>
      </c>
    </row>
    <row r="121" spans="1:10" x14ac:dyDescent="0.25">
      <c r="A121" s="71" t="s">
        <v>188</v>
      </c>
      <c r="B121" s="55"/>
      <c r="C121" s="39">
        <v>-137.2106565</v>
      </c>
      <c r="D121" s="38">
        <v>34.380809681999999</v>
      </c>
      <c r="E121" s="39">
        <v>-163.1373773</v>
      </c>
      <c r="F121" s="38">
        <v>28.703881439</v>
      </c>
      <c r="G121" s="39">
        <v>-114.66439200000001</v>
      </c>
      <c r="H121" s="38">
        <v>38.532280383</v>
      </c>
      <c r="I121" s="39">
        <v>-136.90991030000001</v>
      </c>
      <c r="J121" s="38">
        <v>28.834973051999999</v>
      </c>
    </row>
    <row r="122" spans="1:10" x14ac:dyDescent="0.25">
      <c r="A122" s="71" t="s">
        <v>189</v>
      </c>
      <c r="B122" s="55"/>
      <c r="C122" s="39">
        <v>-167.83543119999999</v>
      </c>
      <c r="D122" s="38">
        <v>24.237773994000001</v>
      </c>
      <c r="E122" s="39">
        <v>-167.56542229999999</v>
      </c>
      <c r="F122" s="38">
        <v>16.744857088</v>
      </c>
      <c r="G122" s="39">
        <v>-139.3446083</v>
      </c>
      <c r="H122" s="38">
        <v>25.827906806000001</v>
      </c>
      <c r="I122" s="39">
        <v>-144.42040130000001</v>
      </c>
      <c r="J122" s="38">
        <v>19.312995588</v>
      </c>
    </row>
    <row r="123" spans="1:10" ht="28.5" x14ac:dyDescent="0.25">
      <c r="A123" s="71" t="s">
        <v>190</v>
      </c>
      <c r="B123" s="55"/>
      <c r="C123" s="39">
        <v>-114.67516500000001</v>
      </c>
      <c r="D123" s="38">
        <v>14.299780932999999</v>
      </c>
      <c r="E123" s="39">
        <v>-124.91186620000001</v>
      </c>
      <c r="F123" s="38">
        <v>13.061922490000001</v>
      </c>
      <c r="G123" s="39">
        <v>-112.897791</v>
      </c>
      <c r="H123" s="38">
        <v>14.861733281999999</v>
      </c>
      <c r="I123" s="39">
        <v>-108.0641768</v>
      </c>
      <c r="J123" s="38">
        <v>19.440501381000001</v>
      </c>
    </row>
    <row r="124" spans="1:10" x14ac:dyDescent="0.25">
      <c r="A124" s="71" t="s">
        <v>191</v>
      </c>
      <c r="B124" s="55"/>
      <c r="C124" s="40">
        <v>146.28822966000001</v>
      </c>
      <c r="D124" s="25">
        <v>46.513972371000001</v>
      </c>
      <c r="E124" s="40">
        <v>101.53284407</v>
      </c>
      <c r="F124" s="25">
        <v>6.5989592819</v>
      </c>
      <c r="G124" s="40">
        <v>182.15620423999999</v>
      </c>
      <c r="H124" s="25">
        <v>43.268924605000002</v>
      </c>
      <c r="I124" s="40">
        <v>104.40699660999999</v>
      </c>
      <c r="J124" s="25">
        <v>10.559285282999999</v>
      </c>
    </row>
    <row r="125" spans="1:10" ht="29.25" thickBot="1" x14ac:dyDescent="0.3">
      <c r="A125" s="65" t="s">
        <v>192</v>
      </c>
      <c r="B125" s="57"/>
      <c r="C125" s="41">
        <v>-361.39276799999999</v>
      </c>
      <c r="D125" s="41">
        <v>189.88403159999999</v>
      </c>
      <c r="E125" s="41">
        <v>-127.77385049999999</v>
      </c>
      <c r="F125" s="41">
        <v>39.695291662000002</v>
      </c>
      <c r="G125" s="41">
        <v>-463.37708249999997</v>
      </c>
      <c r="H125" s="41">
        <v>174.39315121000001</v>
      </c>
      <c r="I125" s="41">
        <v>-172.55400520000001</v>
      </c>
      <c r="J125" s="41">
        <v>56.522995053999999</v>
      </c>
    </row>
    <row r="126" spans="1:10" ht="15" thickBot="1" x14ac:dyDescent="0.3">
      <c r="A126" s="116" t="s">
        <v>193</v>
      </c>
      <c r="B126" s="117"/>
      <c r="C126" s="117"/>
      <c r="D126" s="117"/>
      <c r="E126" s="117"/>
      <c r="F126" s="117"/>
      <c r="G126" s="117"/>
      <c r="H126" s="117"/>
      <c r="I126" s="117"/>
      <c r="J126" s="117"/>
    </row>
    <row r="127" spans="1:10" ht="71.25" x14ac:dyDescent="0.25">
      <c r="A127" s="66" t="s">
        <v>301</v>
      </c>
      <c r="B127" s="68" t="s">
        <v>195</v>
      </c>
      <c r="C127" s="70" t="s">
        <v>302</v>
      </c>
      <c r="D127" s="70" t="s">
        <v>303</v>
      </c>
      <c r="E127" s="139"/>
      <c r="F127" s="139"/>
      <c r="G127" s="139"/>
      <c r="H127" s="139"/>
      <c r="I127" s="139"/>
      <c r="J127" s="139"/>
    </row>
    <row r="128" spans="1:10" ht="30" x14ac:dyDescent="0.25">
      <c r="A128" s="32" t="s">
        <v>304</v>
      </c>
      <c r="B128" s="16" t="s">
        <v>198</v>
      </c>
      <c r="C128" s="137" t="s">
        <v>305</v>
      </c>
      <c r="D128" s="137"/>
      <c r="E128" s="137"/>
      <c r="F128" s="137"/>
      <c r="G128" s="137"/>
      <c r="H128" s="137"/>
      <c r="I128" s="137"/>
      <c r="J128" s="137"/>
    </row>
    <row r="129" spans="1:10" x14ac:dyDescent="0.25">
      <c r="A129" s="111" t="s">
        <v>200</v>
      </c>
      <c r="B129" s="71"/>
      <c r="C129" s="64" t="s">
        <v>248</v>
      </c>
      <c r="D129" s="64" t="s">
        <v>248</v>
      </c>
      <c r="E129" s="64" t="s">
        <v>201</v>
      </c>
      <c r="F129" s="64" t="s">
        <v>201</v>
      </c>
      <c r="G129" s="64" t="s">
        <v>201</v>
      </c>
      <c r="H129" s="64" t="s">
        <v>201</v>
      </c>
      <c r="I129" s="64" t="s">
        <v>253</v>
      </c>
      <c r="J129" s="64" t="s">
        <v>253</v>
      </c>
    </row>
    <row r="130" spans="1:10" ht="28.5" x14ac:dyDescent="0.25">
      <c r="A130" s="113"/>
      <c r="B130" s="68" t="s">
        <v>203</v>
      </c>
      <c r="C130" s="64">
        <v>9.3000000000000007</v>
      </c>
      <c r="D130" s="64">
        <v>0.69</v>
      </c>
      <c r="E130" s="64">
        <v>7.9</v>
      </c>
      <c r="F130" s="64">
        <v>0.23</v>
      </c>
      <c r="G130" s="64">
        <v>7.9</v>
      </c>
      <c r="H130" s="64">
        <v>0.23</v>
      </c>
      <c r="I130" s="64">
        <v>9.3000000000000007</v>
      </c>
      <c r="J130" s="64">
        <v>0.69</v>
      </c>
    </row>
    <row r="131" spans="1:10" ht="30" x14ac:dyDescent="0.25">
      <c r="A131" s="71" t="s">
        <v>204</v>
      </c>
      <c r="B131" s="16" t="s">
        <v>205</v>
      </c>
      <c r="C131" s="137" t="s">
        <v>306</v>
      </c>
      <c r="D131" s="137"/>
      <c r="E131" s="137"/>
      <c r="F131" s="137"/>
      <c r="G131" s="137"/>
      <c r="H131" s="137"/>
      <c r="I131" s="137"/>
      <c r="J131" s="137"/>
    </row>
    <row r="132" spans="1:10" x14ac:dyDescent="0.25">
      <c r="A132" s="111" t="s">
        <v>207</v>
      </c>
      <c r="B132" s="71"/>
      <c r="C132" s="64" t="s">
        <v>208</v>
      </c>
      <c r="D132" s="64" t="s">
        <v>208</v>
      </c>
      <c r="E132" s="64" t="s">
        <v>208</v>
      </c>
      <c r="F132" s="64" t="s">
        <v>208</v>
      </c>
      <c r="G132" s="64" t="s">
        <v>251</v>
      </c>
      <c r="H132" s="64" t="s">
        <v>251</v>
      </c>
      <c r="I132" s="64" t="s">
        <v>251</v>
      </c>
      <c r="J132" s="64" t="s">
        <v>251</v>
      </c>
    </row>
    <row r="133" spans="1:10" ht="28.5" x14ac:dyDescent="0.25">
      <c r="A133" s="113"/>
      <c r="B133" s="68" t="s">
        <v>209</v>
      </c>
      <c r="C133" s="64">
        <v>5.4</v>
      </c>
      <c r="D133" s="64">
        <v>0.24</v>
      </c>
      <c r="E133" s="64">
        <v>5.4</v>
      </c>
      <c r="F133" s="64">
        <v>0.24</v>
      </c>
      <c r="G133" s="64">
        <v>5.2</v>
      </c>
      <c r="H133" s="64">
        <v>0.19</v>
      </c>
      <c r="I133" s="64">
        <v>5.2</v>
      </c>
      <c r="J133" s="64">
        <v>0.19</v>
      </c>
    </row>
    <row r="134" spans="1:10" ht="30" x14ac:dyDescent="0.25">
      <c r="A134" s="71" t="s">
        <v>210</v>
      </c>
      <c r="B134" s="16" t="s">
        <v>211</v>
      </c>
      <c r="C134" s="137" t="s">
        <v>307</v>
      </c>
      <c r="D134" s="137"/>
      <c r="E134" s="137"/>
      <c r="F134" s="137"/>
      <c r="G134" s="137"/>
      <c r="H134" s="137"/>
      <c r="I134" s="137"/>
      <c r="J134" s="137"/>
    </row>
    <row r="135" spans="1:10" x14ac:dyDescent="0.25">
      <c r="A135" s="111" t="s">
        <v>212</v>
      </c>
      <c r="B135" s="71"/>
      <c r="C135" s="64" t="s">
        <v>248</v>
      </c>
      <c r="D135" s="64" t="s">
        <v>248</v>
      </c>
      <c r="E135" s="64" t="s">
        <v>201</v>
      </c>
      <c r="F135" s="64" t="s">
        <v>201</v>
      </c>
      <c r="G135" s="64" t="s">
        <v>201</v>
      </c>
      <c r="H135" s="64" t="s">
        <v>201</v>
      </c>
      <c r="I135" s="64" t="s">
        <v>253</v>
      </c>
      <c r="J135" s="58" t="s">
        <v>253</v>
      </c>
    </row>
    <row r="136" spans="1:10" ht="28.5" x14ac:dyDescent="0.25">
      <c r="A136" s="113"/>
      <c r="B136" s="68" t="s">
        <v>213</v>
      </c>
      <c r="C136" s="59">
        <f>5.8*768/1105</f>
        <v>4.0311312217194564</v>
      </c>
      <c r="D136" s="59">
        <f>0.13*768/1105</f>
        <v>9.0352941176470594E-2</v>
      </c>
      <c r="E136" s="59">
        <f>13.1*768/1105</f>
        <v>9.1047963800904963</v>
      </c>
      <c r="F136" s="59">
        <f>0.22*768/1105</f>
        <v>0.15290497737556563</v>
      </c>
      <c r="G136" s="59">
        <f>13.1*768/1105</f>
        <v>9.1047963800904963</v>
      </c>
      <c r="H136" s="59">
        <f>0.22*768/1105</f>
        <v>0.15290497737556563</v>
      </c>
      <c r="I136" s="59">
        <f>10.8*768/1105</f>
        <v>7.5062443438914039</v>
      </c>
      <c r="J136" s="60">
        <f>0.15*768/1105</f>
        <v>0.10425339366515836</v>
      </c>
    </row>
    <row r="137" spans="1:10" x14ac:dyDescent="0.25">
      <c r="A137" s="111" t="s">
        <v>215</v>
      </c>
      <c r="B137" s="149" t="s">
        <v>216</v>
      </c>
      <c r="C137" s="61" t="s">
        <v>208</v>
      </c>
      <c r="D137" s="61" t="s">
        <v>208</v>
      </c>
      <c r="E137" s="61" t="s">
        <v>208</v>
      </c>
      <c r="F137" s="61" t="s">
        <v>208</v>
      </c>
      <c r="G137" s="61" t="s">
        <v>251</v>
      </c>
      <c r="H137" s="61" t="s">
        <v>251</v>
      </c>
      <c r="I137" s="61" t="s">
        <v>251</v>
      </c>
      <c r="J137" s="61" t="s">
        <v>251</v>
      </c>
    </row>
    <row r="138" spans="1:10" x14ac:dyDescent="0.25">
      <c r="A138" s="113"/>
      <c r="B138" s="150"/>
      <c r="C138" s="59">
        <f>14*768/1105</f>
        <v>9.7303167420814471</v>
      </c>
      <c r="D138" s="59">
        <f>0.16*768/1105</f>
        <v>0.11120361990950225</v>
      </c>
      <c r="E138" s="59">
        <f>14*768/1105</f>
        <v>9.7303167420814471</v>
      </c>
      <c r="F138" s="59">
        <f>0.16*768/1105</f>
        <v>0.11120361990950225</v>
      </c>
      <c r="G138" s="59">
        <f>14.5*768/1105</f>
        <v>10.077828054298642</v>
      </c>
      <c r="H138" s="59">
        <f>0.17*768/1105</f>
        <v>0.11815384615384615</v>
      </c>
      <c r="I138" s="59">
        <f>14.5*768/1105</f>
        <v>10.077828054298642</v>
      </c>
      <c r="J138" s="59">
        <f>0.17*768/1105</f>
        <v>0.11815384615384615</v>
      </c>
    </row>
    <row r="139" spans="1:10" ht="29.25" thickBot="1" x14ac:dyDescent="0.3">
      <c r="A139" s="65" t="s">
        <v>308</v>
      </c>
      <c r="B139" s="68" t="s">
        <v>218</v>
      </c>
      <c r="C139" s="45">
        <f>5.4*768*768/(1024*1024)</f>
        <v>3.0375000000000005</v>
      </c>
      <c r="D139" s="45">
        <f>0.1*768*768/(1024*1024)</f>
        <v>5.6250000000000008E-2</v>
      </c>
      <c r="E139" s="45">
        <f>5.5*768*768/(1024*1024)</f>
        <v>3.09375</v>
      </c>
      <c r="F139" s="45">
        <f>0.1*768*768/(1024*1024)</f>
        <v>5.6250000000000008E-2</v>
      </c>
      <c r="G139" s="45">
        <f>5.4*768*768/(1024*1024)</f>
        <v>3.0375000000000005</v>
      </c>
      <c r="H139" s="45">
        <f>0.1*768*768/(1024*1024)</f>
        <v>5.6250000000000008E-2</v>
      </c>
      <c r="I139" s="45">
        <f>5.5*768*768/(1024*1024)</f>
        <v>3.09375</v>
      </c>
      <c r="J139" s="45">
        <f>0.1*768*768/(1024*1024)</f>
        <v>5.6250000000000008E-2</v>
      </c>
    </row>
    <row r="140" spans="1:10" ht="15" thickBot="1" x14ac:dyDescent="0.3">
      <c r="A140" s="142" t="s">
        <v>220</v>
      </c>
      <c r="B140" s="143"/>
      <c r="C140" s="144"/>
      <c r="D140" s="144"/>
      <c r="E140" s="144"/>
      <c r="F140" s="144"/>
      <c r="G140" s="144"/>
      <c r="H140" s="144"/>
      <c r="I140" s="144"/>
      <c r="J140" s="144"/>
    </row>
    <row r="141" spans="1:10" ht="42.75" x14ac:dyDescent="0.25">
      <c r="A141" s="66" t="s">
        <v>221</v>
      </c>
      <c r="B141" s="66"/>
      <c r="C141" s="75" t="s">
        <v>309</v>
      </c>
      <c r="D141" s="8" t="s">
        <v>39</v>
      </c>
      <c r="E141" s="75" t="s">
        <v>309</v>
      </c>
      <c r="F141" s="8" t="s">
        <v>39</v>
      </c>
      <c r="G141" s="75" t="s">
        <v>309</v>
      </c>
      <c r="H141" s="8" t="s">
        <v>39</v>
      </c>
      <c r="I141" s="75" t="s">
        <v>309</v>
      </c>
      <c r="J141" s="8" t="s">
        <v>39</v>
      </c>
    </row>
    <row r="142" spans="1:10" ht="28.5" x14ac:dyDescent="0.25">
      <c r="A142" s="71" t="s">
        <v>310</v>
      </c>
      <c r="B142" s="71"/>
      <c r="C142" s="46">
        <f>(C36+3.54*C39+C41+C108)/1000</f>
        <v>7.2572700000000001</v>
      </c>
      <c r="D142" s="46">
        <v>7.0000000000000007E-2</v>
      </c>
      <c r="E142" s="46">
        <f>(E36+3.54*E39+E41+E108)/1000</f>
        <v>7.1551299999999998</v>
      </c>
      <c r="F142" s="46">
        <v>7.0000000000000007E-2</v>
      </c>
      <c r="G142" s="46">
        <f>(G36+3.54*G39+G41+G108)/1000</f>
        <v>7.2002299999999995</v>
      </c>
      <c r="H142" s="46">
        <v>7.0000000000000007E-2</v>
      </c>
      <c r="I142" s="46">
        <f>(I36+3.54*I39+I41+I108)/1000</f>
        <v>7.1792700000000007</v>
      </c>
      <c r="J142" s="46">
        <v>7.0000000000000007E-2</v>
      </c>
    </row>
  </sheetData>
  <mergeCells count="67">
    <mergeCell ref="C63:J63"/>
    <mergeCell ref="A2:J2"/>
    <mergeCell ref="C8:J8"/>
    <mergeCell ref="A15:J15"/>
    <mergeCell ref="B26:B30"/>
    <mergeCell ref="A31:A33"/>
    <mergeCell ref="D31:D33"/>
    <mergeCell ref="F31:F33"/>
    <mergeCell ref="H31:H33"/>
    <mergeCell ref="J31:J33"/>
    <mergeCell ref="A35:J35"/>
    <mergeCell ref="A55:J55"/>
    <mergeCell ref="C56:J56"/>
    <mergeCell ref="C57:J57"/>
    <mergeCell ref="C62:J62"/>
    <mergeCell ref="C64:J64"/>
    <mergeCell ref="C65:J65"/>
    <mergeCell ref="A66:A67"/>
    <mergeCell ref="A68:A69"/>
    <mergeCell ref="A70:A72"/>
    <mergeCell ref="D70:D72"/>
    <mergeCell ref="F70:F72"/>
    <mergeCell ref="H70:H72"/>
    <mergeCell ref="J70:J72"/>
    <mergeCell ref="C73:J73"/>
    <mergeCell ref="A75:A77"/>
    <mergeCell ref="D75:D77"/>
    <mergeCell ref="F75:F77"/>
    <mergeCell ref="H75:H77"/>
    <mergeCell ref="J75:J77"/>
    <mergeCell ref="A83:A85"/>
    <mergeCell ref="D83:D85"/>
    <mergeCell ref="F83:F85"/>
    <mergeCell ref="H83:H85"/>
    <mergeCell ref="J83:J85"/>
    <mergeCell ref="A79:A81"/>
    <mergeCell ref="D79:D81"/>
    <mergeCell ref="F79:F81"/>
    <mergeCell ref="H79:H81"/>
    <mergeCell ref="J79:J81"/>
    <mergeCell ref="A96:A98"/>
    <mergeCell ref="D96:D98"/>
    <mergeCell ref="F96:F98"/>
    <mergeCell ref="H96:H98"/>
    <mergeCell ref="J96:J98"/>
    <mergeCell ref="A92:A94"/>
    <mergeCell ref="D92:D94"/>
    <mergeCell ref="F92:F94"/>
    <mergeCell ref="H92:H94"/>
    <mergeCell ref="J92:J94"/>
    <mergeCell ref="A132:A133"/>
    <mergeCell ref="A100:A102"/>
    <mergeCell ref="D100:D102"/>
    <mergeCell ref="F100:F102"/>
    <mergeCell ref="H100:H102"/>
    <mergeCell ref="A126:J126"/>
    <mergeCell ref="E127:J127"/>
    <mergeCell ref="C128:J128"/>
    <mergeCell ref="A129:A130"/>
    <mergeCell ref="C131:J131"/>
    <mergeCell ref="J100:J102"/>
    <mergeCell ref="A104:J104"/>
    <mergeCell ref="C134:J134"/>
    <mergeCell ref="A135:A136"/>
    <mergeCell ref="A137:A138"/>
    <mergeCell ref="B137:B138"/>
    <mergeCell ref="A140:J1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ATF_</vt:lpstr>
      <vt:lpstr>Legend</vt:lpstr>
      <vt:lpstr>ATF</vt:lpstr>
      <vt:lpstr>S26</vt:lpstr>
    </vt:vector>
  </TitlesOfParts>
  <Manager/>
  <Company>Intel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Kau, Derchang</dc:creator>
  <cp:keywords/>
  <dc:description/>
  <cp:lastModifiedBy>Fugazza, Davide</cp:lastModifiedBy>
  <cp:revision/>
  <dcterms:created xsi:type="dcterms:W3CDTF">2020-11-19T00:03:33Z</dcterms:created>
  <dcterms:modified xsi:type="dcterms:W3CDTF">2020-11-20T17:52:14Z</dcterms:modified>
  <cp:category/>
  <cp:contentStatus/>
</cp:coreProperties>
</file>